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A9CE5943-5958-4DA7-96BF-D4C997CF49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a indykatywna" sheetId="1" r:id="rId1"/>
    <sheet name="ZI" sheetId="2" r:id="rId2"/>
  </sheets>
  <definedNames>
    <definedName name="_xlnm._FilterDatabase" localSheetId="0" hidden="1">'Tabela indykatywna'!$A$6:$Q$82</definedName>
    <definedName name="_xlnm._FilterDatabase" localSheetId="1" hidden="1">ZI!$A$2:$F$3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  <c r="N49" i="1"/>
  <c r="M48" i="1"/>
  <c r="H49" i="1"/>
  <c r="H48" i="1"/>
  <c r="M59" i="1" l="1"/>
  <c r="M58" i="1"/>
  <c r="M57" i="1"/>
  <c r="M56" i="1"/>
  <c r="M55" i="1"/>
  <c r="M54" i="1"/>
  <c r="M53" i="1"/>
  <c r="M52" i="1"/>
  <c r="M51" i="1"/>
  <c r="M50" i="1"/>
  <c r="M47" i="1"/>
  <c r="L47" i="1"/>
  <c r="M46" i="1"/>
  <c r="M44" i="1"/>
  <c r="M43" i="1"/>
  <c r="M40" i="1"/>
  <c r="G35" i="1" l="1"/>
  <c r="G33" i="1"/>
  <c r="G29" i="1" l="1"/>
  <c r="G30" i="1"/>
  <c r="G153" i="2" l="1"/>
  <c r="G149" i="2"/>
  <c r="G145" i="2"/>
  <c r="G125" i="2"/>
  <c r="G99" i="2"/>
  <c r="G97" i="2"/>
  <c r="G81" i="2"/>
  <c r="G32" i="2"/>
  <c r="F142" i="2" l="1"/>
  <c r="F137" i="2"/>
  <c r="F126" i="2"/>
  <c r="G143" i="2" l="1"/>
  <c r="G154" i="2" s="1"/>
  <c r="N67" i="1"/>
  <c r="N66" i="1"/>
  <c r="N65" i="1"/>
  <c r="N64" i="1"/>
  <c r="N75" i="1"/>
  <c r="N38" i="1"/>
  <c r="F61" i="1" l="1"/>
  <c r="G61" i="1"/>
  <c r="H61" i="1"/>
  <c r="I61" i="1"/>
  <c r="L61" i="1"/>
  <c r="M61" i="1"/>
  <c r="N61" i="1"/>
  <c r="O61" i="1"/>
  <c r="Q61" i="1"/>
  <c r="F14" i="1"/>
  <c r="G14" i="1"/>
  <c r="H14" i="1"/>
  <c r="I14" i="1"/>
  <c r="L14" i="1"/>
  <c r="M14" i="1"/>
  <c r="N14" i="1"/>
  <c r="O14" i="1"/>
  <c r="Q14" i="1"/>
  <c r="Q7" i="1"/>
  <c r="F7" i="1"/>
  <c r="G7" i="1"/>
  <c r="H7" i="1"/>
  <c r="I7" i="1"/>
  <c r="L7" i="1"/>
  <c r="M7" i="1"/>
  <c r="N7" i="1"/>
  <c r="O7" i="1"/>
  <c r="E8" i="1" l="1"/>
  <c r="O74" i="1" l="1"/>
  <c r="K79" i="1" l="1"/>
  <c r="J79" i="1" s="1"/>
  <c r="J78" i="1" s="1"/>
  <c r="K77" i="1"/>
  <c r="J77" i="1" s="1"/>
  <c r="J76" i="1" s="1"/>
  <c r="K75" i="1"/>
  <c r="J75" i="1" s="1"/>
  <c r="J74" i="1" s="1"/>
  <c r="K73" i="1"/>
  <c r="J73" i="1" s="1"/>
  <c r="K72" i="1"/>
  <c r="J72" i="1" s="1"/>
  <c r="K71" i="1"/>
  <c r="J71" i="1" s="1"/>
  <c r="K70" i="1"/>
  <c r="J70" i="1" s="1"/>
  <c r="K69" i="1"/>
  <c r="J69" i="1" s="1"/>
  <c r="K68" i="1"/>
  <c r="J68" i="1" s="1"/>
  <c r="K67" i="1"/>
  <c r="J67" i="1" s="1"/>
  <c r="K66" i="1"/>
  <c r="J66" i="1" s="1"/>
  <c r="K65" i="1"/>
  <c r="J65" i="1" s="1"/>
  <c r="K64" i="1"/>
  <c r="J64" i="1" s="1"/>
  <c r="K63" i="1"/>
  <c r="J63" i="1" s="1"/>
  <c r="K62" i="1"/>
  <c r="K60" i="1"/>
  <c r="J60" i="1" s="1"/>
  <c r="K59" i="1"/>
  <c r="J59" i="1" s="1"/>
  <c r="K58" i="1"/>
  <c r="J58" i="1" s="1"/>
  <c r="K57" i="1"/>
  <c r="J57" i="1" s="1"/>
  <c r="K56" i="1"/>
  <c r="J56" i="1" s="1"/>
  <c r="K55" i="1"/>
  <c r="J55" i="1" s="1"/>
  <c r="K54" i="1"/>
  <c r="J54" i="1" s="1"/>
  <c r="K53" i="1"/>
  <c r="J53" i="1" s="1"/>
  <c r="K52" i="1"/>
  <c r="J52" i="1" s="1"/>
  <c r="K51" i="1"/>
  <c r="J51" i="1" s="1"/>
  <c r="K50" i="1"/>
  <c r="J50" i="1" s="1"/>
  <c r="K49" i="1"/>
  <c r="J49" i="1" s="1"/>
  <c r="K48" i="1"/>
  <c r="K47" i="1"/>
  <c r="J47" i="1" s="1"/>
  <c r="K46" i="1"/>
  <c r="J46" i="1" s="1"/>
  <c r="K45" i="1"/>
  <c r="J45" i="1" s="1"/>
  <c r="K44" i="1"/>
  <c r="J44" i="1" s="1"/>
  <c r="K43" i="1"/>
  <c r="J43" i="1" s="1"/>
  <c r="K42" i="1"/>
  <c r="J42" i="1" s="1"/>
  <c r="K41" i="1"/>
  <c r="J41" i="1" s="1"/>
  <c r="K40" i="1"/>
  <c r="J40" i="1" s="1"/>
  <c r="K31" i="1"/>
  <c r="J31" i="1" s="1"/>
  <c r="K30" i="1"/>
  <c r="J30" i="1" s="1"/>
  <c r="K29" i="1"/>
  <c r="J29" i="1" s="1"/>
  <c r="K28" i="1"/>
  <c r="J28" i="1" s="1"/>
  <c r="K27" i="1"/>
  <c r="J27" i="1" s="1"/>
  <c r="K26" i="1"/>
  <c r="J26" i="1" s="1"/>
  <c r="K25" i="1"/>
  <c r="J25" i="1" s="1"/>
  <c r="K24" i="1"/>
  <c r="J24" i="1" s="1"/>
  <c r="K23" i="1"/>
  <c r="J23" i="1" s="1"/>
  <c r="K22" i="1"/>
  <c r="J22" i="1" s="1"/>
  <c r="K21" i="1"/>
  <c r="J21" i="1" s="1"/>
  <c r="K20" i="1"/>
  <c r="J20" i="1" s="1"/>
  <c r="K19" i="1"/>
  <c r="J19" i="1" s="1"/>
  <c r="K18" i="1"/>
  <c r="J18" i="1" s="1"/>
  <c r="K17" i="1"/>
  <c r="J17" i="1" s="1"/>
  <c r="K16" i="1"/>
  <c r="J16" i="1" s="1"/>
  <c r="K15" i="1"/>
  <c r="K13" i="1"/>
  <c r="J13" i="1" s="1"/>
  <c r="K12" i="1"/>
  <c r="J12" i="1" s="1"/>
  <c r="K11" i="1"/>
  <c r="J11" i="1" s="1"/>
  <c r="K10" i="1"/>
  <c r="J10" i="1" s="1"/>
  <c r="K9" i="1"/>
  <c r="K8" i="1"/>
  <c r="J8" i="1" s="1"/>
  <c r="E79" i="1"/>
  <c r="E77" i="1"/>
  <c r="E76" i="1" s="1"/>
  <c r="E75" i="1"/>
  <c r="E74" i="1" s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P55" i="1" s="1"/>
  <c r="E54" i="1"/>
  <c r="E53" i="1"/>
  <c r="E52" i="1"/>
  <c r="E51" i="1"/>
  <c r="E50" i="1"/>
  <c r="E49" i="1"/>
  <c r="E48" i="1"/>
  <c r="E47" i="1"/>
  <c r="P47" i="1" s="1"/>
  <c r="E46" i="1"/>
  <c r="E45" i="1"/>
  <c r="E44" i="1"/>
  <c r="E43" i="1"/>
  <c r="E42" i="1"/>
  <c r="E41" i="1"/>
  <c r="E40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F39" i="1"/>
  <c r="G39" i="1"/>
  <c r="H39" i="1"/>
  <c r="I39" i="1"/>
  <c r="L39" i="1"/>
  <c r="M39" i="1"/>
  <c r="N39" i="1"/>
  <c r="O39" i="1"/>
  <c r="Q39" i="1"/>
  <c r="F78" i="1"/>
  <c r="G78" i="1"/>
  <c r="H78" i="1"/>
  <c r="I78" i="1"/>
  <c r="L78" i="1"/>
  <c r="M78" i="1"/>
  <c r="N78" i="1"/>
  <c r="O78" i="1"/>
  <c r="Q78" i="1"/>
  <c r="F76" i="1"/>
  <c r="G76" i="1"/>
  <c r="H76" i="1"/>
  <c r="I76" i="1"/>
  <c r="L76" i="1"/>
  <c r="M76" i="1"/>
  <c r="N76" i="1"/>
  <c r="O76" i="1"/>
  <c r="Q76" i="1"/>
  <c r="F74" i="1"/>
  <c r="G74" i="1"/>
  <c r="H74" i="1"/>
  <c r="I74" i="1"/>
  <c r="L74" i="1"/>
  <c r="M74" i="1"/>
  <c r="N74" i="1"/>
  <c r="Q74" i="1"/>
  <c r="F36" i="1"/>
  <c r="G36" i="1"/>
  <c r="H36" i="1"/>
  <c r="I36" i="1"/>
  <c r="L36" i="1"/>
  <c r="M36" i="1"/>
  <c r="N36" i="1"/>
  <c r="O36" i="1"/>
  <c r="Q36" i="1"/>
  <c r="F32" i="1"/>
  <c r="G32" i="1"/>
  <c r="H32" i="1"/>
  <c r="I32" i="1"/>
  <c r="L32" i="1"/>
  <c r="M32" i="1"/>
  <c r="N32" i="1"/>
  <c r="O32" i="1"/>
  <c r="Q32" i="1"/>
  <c r="J48" i="1" l="1"/>
  <c r="P48" i="1" s="1"/>
  <c r="P42" i="1"/>
  <c r="P50" i="1"/>
  <c r="P54" i="1"/>
  <c r="K76" i="1"/>
  <c r="P72" i="1"/>
  <c r="K61" i="1"/>
  <c r="K14" i="1"/>
  <c r="E61" i="1"/>
  <c r="E14" i="1"/>
  <c r="J9" i="1"/>
  <c r="K7" i="1"/>
  <c r="P8" i="1"/>
  <c r="E7" i="1"/>
  <c r="P30" i="1"/>
  <c r="J62" i="1"/>
  <c r="Q80" i="1"/>
  <c r="G80" i="1"/>
  <c r="P29" i="1"/>
  <c r="L80" i="1"/>
  <c r="P11" i="1"/>
  <c r="P63" i="1"/>
  <c r="P71" i="1"/>
  <c r="P22" i="1"/>
  <c r="P31" i="1"/>
  <c r="P10" i="1"/>
  <c r="P19" i="1"/>
  <c r="P27" i="1"/>
  <c r="P23" i="1"/>
  <c r="P44" i="1"/>
  <c r="P56" i="1"/>
  <c r="P60" i="1"/>
  <c r="P65" i="1"/>
  <c r="P69" i="1"/>
  <c r="P73" i="1"/>
  <c r="P66" i="1"/>
  <c r="P20" i="1"/>
  <c r="P28" i="1"/>
  <c r="P17" i="1"/>
  <c r="P21" i="1"/>
  <c r="P25" i="1"/>
  <c r="P12" i="1"/>
  <c r="P43" i="1"/>
  <c r="P59" i="1"/>
  <c r="P52" i="1"/>
  <c r="P41" i="1"/>
  <c r="P45" i="1"/>
  <c r="P49" i="1"/>
  <c r="P53" i="1"/>
  <c r="P57" i="1"/>
  <c r="P51" i="1"/>
  <c r="P46" i="1"/>
  <c r="P58" i="1"/>
  <c r="O80" i="1"/>
  <c r="F80" i="1"/>
  <c r="P26" i="1"/>
  <c r="P18" i="1"/>
  <c r="P16" i="1"/>
  <c r="P24" i="1"/>
  <c r="P13" i="1"/>
  <c r="J15" i="1"/>
  <c r="P40" i="1"/>
  <c r="N80" i="1"/>
  <c r="H80" i="1"/>
  <c r="E39" i="1"/>
  <c r="E80" i="1" s="1"/>
  <c r="P70" i="1"/>
  <c r="P68" i="1"/>
  <c r="P67" i="1"/>
  <c r="P64" i="1"/>
  <c r="N81" i="1"/>
  <c r="K78" i="1"/>
  <c r="P79" i="1"/>
  <c r="L81" i="1"/>
  <c r="E78" i="1"/>
  <c r="M80" i="1"/>
  <c r="I80" i="1"/>
  <c r="P77" i="1"/>
  <c r="K74" i="1"/>
  <c r="P75" i="1"/>
  <c r="K39" i="1"/>
  <c r="F81" i="1"/>
  <c r="H81" i="1"/>
  <c r="Q81" i="1"/>
  <c r="M81" i="1"/>
  <c r="I81" i="1"/>
  <c r="O81" i="1"/>
  <c r="G81" i="1"/>
  <c r="E34" i="1"/>
  <c r="E35" i="1"/>
  <c r="E33" i="1"/>
  <c r="E38" i="1"/>
  <c r="E37" i="1"/>
  <c r="Q82" i="1" l="1"/>
  <c r="J14" i="1"/>
  <c r="J7" i="1"/>
  <c r="J39" i="1"/>
  <c r="J80" i="1" s="1"/>
  <c r="K80" i="1"/>
  <c r="P9" i="1"/>
  <c r="P62" i="1"/>
  <c r="P61" i="1" s="1"/>
  <c r="J61" i="1"/>
  <c r="P78" i="1"/>
  <c r="P74" i="1"/>
  <c r="P76" i="1"/>
  <c r="G82" i="1"/>
  <c r="L82" i="1"/>
  <c r="H82" i="1"/>
  <c r="F82" i="1"/>
  <c r="N82" i="1"/>
  <c r="P39" i="1"/>
  <c r="O82" i="1"/>
  <c r="P15" i="1"/>
  <c r="M82" i="1"/>
  <c r="I82" i="1"/>
  <c r="K34" i="1"/>
  <c r="J34" i="1" s="1"/>
  <c r="K35" i="1"/>
  <c r="J35" i="1" s="1"/>
  <c r="K37" i="1"/>
  <c r="K38" i="1"/>
  <c r="J38" i="1" s="1"/>
  <c r="K33" i="1"/>
  <c r="P7" i="1" l="1"/>
  <c r="P14" i="1"/>
  <c r="P80" i="1"/>
  <c r="J37" i="1"/>
  <c r="K36" i="1"/>
  <c r="J33" i="1"/>
  <c r="K32" i="1"/>
  <c r="P35" i="1"/>
  <c r="P34" i="1"/>
  <c r="E36" i="1"/>
  <c r="P38" i="1"/>
  <c r="E32" i="1"/>
  <c r="J36" i="1" l="1"/>
  <c r="J32" i="1"/>
  <c r="K81" i="1"/>
  <c r="K82" i="1" s="1"/>
  <c r="J81" i="1"/>
  <c r="J82" i="1" s="1"/>
  <c r="E81" i="1"/>
  <c r="E82" i="1" s="1"/>
  <c r="P33" i="1"/>
  <c r="P37" i="1"/>
  <c r="P36" i="1" l="1"/>
  <c r="P32" i="1"/>
  <c r="P81" i="1" l="1"/>
  <c r="P82" i="1" s="1"/>
</calcChain>
</file>

<file path=xl/sharedStrings.xml><?xml version="1.0" encoding="utf-8"?>
<sst xmlns="http://schemas.openxmlformats.org/spreadsheetml/2006/main" count="581" uniqueCount="266">
  <si>
    <t>Priorytet (numer)</t>
  </si>
  <si>
    <t>Cel szczegółowy (numer)</t>
  </si>
  <si>
    <t>Kategorie regionów</t>
  </si>
  <si>
    <t>Wsparcie UE</t>
  </si>
  <si>
    <t>ogółem</t>
  </si>
  <si>
    <t>FS</t>
  </si>
  <si>
    <t>EFRR</t>
  </si>
  <si>
    <t>EFS+</t>
  </si>
  <si>
    <t>FST (*)</t>
  </si>
  <si>
    <t>Wkład krajowy</t>
  </si>
  <si>
    <t>Krajowe środki publiczne</t>
  </si>
  <si>
    <t>budżet państwa (**)</t>
  </si>
  <si>
    <t>budżet JST</t>
  </si>
  <si>
    <t>inne</t>
  </si>
  <si>
    <t>Krajowe środki prywatne</t>
  </si>
  <si>
    <t>Finanowanie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</si>
  <si>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</si>
  <si>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</si>
  <si>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</si>
  <si>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</si>
  <si>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</si>
  <si>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</si>
  <si>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</si>
  <si>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</si>
  <si>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</si>
  <si>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</si>
  <si>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</si>
  <si>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</si>
  <si>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</si>
  <si>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k</t>
  </si>
  <si>
    <t>=b+c+d+e</t>
  </si>
  <si>
    <t>=g+k</t>
  </si>
  <si>
    <t>=h+i+j</t>
  </si>
  <si>
    <t>=a+f</t>
  </si>
  <si>
    <t>Priorytet 1</t>
  </si>
  <si>
    <t>Priorytet 2</t>
  </si>
  <si>
    <t>Priorytet 3</t>
  </si>
  <si>
    <t>Priorytet 4</t>
  </si>
  <si>
    <t>Priorytet 5</t>
  </si>
  <si>
    <t>Priorytet 6</t>
  </si>
  <si>
    <t>Priorytet 7</t>
  </si>
  <si>
    <t>Priorytet 8</t>
  </si>
  <si>
    <t>Priorytet 9</t>
  </si>
  <si>
    <t>słabiej rozwinięte</t>
  </si>
  <si>
    <t>Infrastruktura drogowa</t>
  </si>
  <si>
    <t>Tabor kolejowy</t>
  </si>
  <si>
    <t>Mobilność miejska</t>
  </si>
  <si>
    <t>Mobilność miejska – ZIT na terenie obszaru metropolitalnego</t>
  </si>
  <si>
    <t>Mobilność miejska – ZIT poza terenem obszaru metropolitalnego</t>
  </si>
  <si>
    <t>Działanie 3.1</t>
  </si>
  <si>
    <t>Działanie 3.2</t>
  </si>
  <si>
    <t>Działanie 3.3</t>
  </si>
  <si>
    <t>Działanie 4.1</t>
  </si>
  <si>
    <t>Działanie 4.2</t>
  </si>
  <si>
    <t>Fundusze europejskie dla mobilnego Pomorza</t>
  </si>
  <si>
    <t>Fundusze europejskie dla lepiej połączonego Pomorza</t>
  </si>
  <si>
    <t>Badania i innowacje w przedsiębiorstwach</t>
  </si>
  <si>
    <t>Badania i innowacje w przedsiębiorstwach – wsparcie pozadotacyjne</t>
  </si>
  <si>
    <t>Potencjał klastrów i Inteligentnych Specjalizacji Pomorza</t>
  </si>
  <si>
    <t>E-usługi publiczne</t>
  </si>
  <si>
    <t>Wsparcie przedsiębiorstw</t>
  </si>
  <si>
    <t>Wsparcie MŚP – wsparcie pozadotacyjne</t>
  </si>
  <si>
    <t>Fundusze europejskie dla konkurencyjnego i inteligentnego Pomorza</t>
  </si>
  <si>
    <t>Fundusze europejskie dla zielonego Pomorza</t>
  </si>
  <si>
    <t>Efektywność energetyczna</t>
  </si>
  <si>
    <t xml:space="preserve">Efektywność energetyczna – ZIT na terenie obszaru metropolitalnego </t>
  </si>
  <si>
    <t>Efektywność energetyczna – ZIT poza terenem obszaru metropolitalnego</t>
  </si>
  <si>
    <t>Efektywność energetyczna – programy rewitalizacji</t>
  </si>
  <si>
    <t>Efektywność energetyczna – wsparcie pozadotacyjne</t>
  </si>
  <si>
    <t>Odnawialne źródła energii</t>
  </si>
  <si>
    <t>Odnawialne źródła energii – RLKS</t>
  </si>
  <si>
    <t>Odnawialne źródła energii – wsparcie pozadotacyjne</t>
  </si>
  <si>
    <t>Przystosowanie do zmian klimatu</t>
  </si>
  <si>
    <t>Przystosowanie do zmian klimatu – ZIT na terenie obszaru metropolitalnego</t>
  </si>
  <si>
    <t>Przystosowanie do zmian klimatu – ZIT poza terenem obszaru metropolitalnego</t>
  </si>
  <si>
    <t>Zrównoważona gospodarka wodna</t>
  </si>
  <si>
    <t>Gospodarka o obiegu zamkniętym</t>
  </si>
  <si>
    <t>Gospodarka o obiegu zamkniętym – wsparcie pozadotacyjne</t>
  </si>
  <si>
    <t xml:space="preserve">Różnorodność biologiczna i krajobrazu </t>
  </si>
  <si>
    <t>Różnorodność biologiczna i krajobrazu – ZIT poza terenem obszaru metropolitalnego</t>
  </si>
  <si>
    <t>Różnorodność biologiczna i krajobrazu – RLKS</t>
  </si>
  <si>
    <t>Działanie 1.1</t>
  </si>
  <si>
    <t>Działanie 1.2</t>
  </si>
  <si>
    <t>Działanie 1.3</t>
  </si>
  <si>
    <t>Działanie 1.4</t>
  </si>
  <si>
    <t>Działanie 1.5</t>
  </si>
  <si>
    <t>Działanie 1.6</t>
  </si>
  <si>
    <t>Działanie 2.1</t>
  </si>
  <si>
    <t>Działanie 2.2</t>
  </si>
  <si>
    <t>Działanie 2.3</t>
  </si>
  <si>
    <t>Działanie 2.4</t>
  </si>
  <si>
    <t>Działanie 2.5</t>
  </si>
  <si>
    <t>Działanie 2.6</t>
  </si>
  <si>
    <t>Działanie 2.7</t>
  </si>
  <si>
    <t>Działanie 2.8</t>
  </si>
  <si>
    <t>Działanie 2.9</t>
  </si>
  <si>
    <t>Działanie 2.10</t>
  </si>
  <si>
    <t>Działanie 2.11</t>
  </si>
  <si>
    <t>Działanie 2.12</t>
  </si>
  <si>
    <t>Działanie 2.13</t>
  </si>
  <si>
    <t>Działanie 2.14</t>
  </si>
  <si>
    <t>Działanie 2.15</t>
  </si>
  <si>
    <t>Działanie 2.16</t>
  </si>
  <si>
    <t>Działanie 2.17</t>
  </si>
  <si>
    <t>Działanie 5.1</t>
  </si>
  <si>
    <t>Działanie 5.2</t>
  </si>
  <si>
    <t>Działanie 5.3</t>
  </si>
  <si>
    <t>Działanie 5.4</t>
  </si>
  <si>
    <t>Działanie 5.5</t>
  </si>
  <si>
    <t>Działanie 5.6</t>
  </si>
  <si>
    <t>Działanie 5.7</t>
  </si>
  <si>
    <t>Działanie 5.8</t>
  </si>
  <si>
    <t>Działanie 5.9</t>
  </si>
  <si>
    <t>Działanie 5.10</t>
  </si>
  <si>
    <t>Działanie 5.11</t>
  </si>
  <si>
    <t>Działanie 5.12</t>
  </si>
  <si>
    <t>Działanie 5.13</t>
  </si>
  <si>
    <t>Działanie 5.14</t>
  </si>
  <si>
    <t>Działanie 5.15</t>
  </si>
  <si>
    <t>Działanie 5.16</t>
  </si>
  <si>
    <t>Działanie 5.17</t>
  </si>
  <si>
    <t>Działanie 5.18</t>
  </si>
  <si>
    <t>Działanie 5.19</t>
  </si>
  <si>
    <t>Działanie 5.20</t>
  </si>
  <si>
    <t>Działanie 5.21</t>
  </si>
  <si>
    <t>Fundusze europejskie dla silnego społecznie Pomorza (EFS+)</t>
  </si>
  <si>
    <t>Rynek pracy</t>
  </si>
  <si>
    <t>Rynek pracy – projekty powiatowych urzędów pracy</t>
  </si>
  <si>
    <t>Modernizacja instytucji rynku pracy</t>
  </si>
  <si>
    <t>Kobiety na rynku pracy</t>
  </si>
  <si>
    <t>Aktywne i zdrowe starzenie się</t>
  </si>
  <si>
    <t>Adaptacyjność pracowników i pracodawców</t>
  </si>
  <si>
    <t>Edukacja przedszkolna</t>
  </si>
  <si>
    <t>Edukacja ogólna i zawodowa</t>
  </si>
  <si>
    <t>Kształcenie ustawiczne</t>
  </si>
  <si>
    <t>Kształcenie ustawiczne – wsparcie pozadotacyjne</t>
  </si>
  <si>
    <t>Aktywne włączenie społeczne</t>
  </si>
  <si>
    <t>Aktywne włączenie społeczne – programy rewitalizacji</t>
  </si>
  <si>
    <t>Rozwój ekonomii społecznej</t>
  </si>
  <si>
    <t>Integracja migrantów</t>
  </si>
  <si>
    <t>Integracja migrantów – ZIT na terenie obszaru metropolitalnego</t>
  </si>
  <si>
    <t>Integracja migrantów – ZIT poza terenem obszaru metropolitalnego</t>
  </si>
  <si>
    <t>Usługi społeczne i zdrowotne</t>
  </si>
  <si>
    <t>Usługi społeczne i zdrowotne – ZIT na terenie obszaru metropolitalnego</t>
  </si>
  <si>
    <t>Usługi społeczne i zdrowotne – programy rewitalizacji</t>
  </si>
  <si>
    <t>Usługi społeczne i zdrowotne – RLKS</t>
  </si>
  <si>
    <t>Aktywność obywatelska</t>
  </si>
  <si>
    <t>Fundusze europejskie dla silnego społecznie Pomorza (EFRR)</t>
  </si>
  <si>
    <t>Infrastruktura edukacji przedszkolnej</t>
  </si>
  <si>
    <t>Infrastruktura edukacji włączającej i zawodowej</t>
  </si>
  <si>
    <t>Infrastruktura społeczna</t>
  </si>
  <si>
    <t>Infrastruktura społeczna – ZIT na terenie obszaru metropolitalnego</t>
  </si>
  <si>
    <t xml:space="preserve">Infrastruktura społeczna – programy rewitalizacji </t>
  </si>
  <si>
    <t>Infrastruktura społeczna – RLKS</t>
  </si>
  <si>
    <t>Infrastruktura zdrowia</t>
  </si>
  <si>
    <t>Infrastruktura zdrowia – ZIT na terenie obszaru metropolitalnego</t>
  </si>
  <si>
    <t>Infrastruktura zdrowia – ZIT poza terenem obszaru metropolitalnego</t>
  </si>
  <si>
    <t>Infrastruktura kultury</t>
  </si>
  <si>
    <t>Infrastruktura turystyki</t>
  </si>
  <si>
    <t>Infrastruktura turystyki – RLKS</t>
  </si>
  <si>
    <t>Dzialanie 6.1</t>
  </si>
  <si>
    <t>Dzialanie 6.2</t>
  </si>
  <si>
    <t>Dzialanie 6.3</t>
  </si>
  <si>
    <t>Dzialanie 6.4</t>
  </si>
  <si>
    <t>Dzialanie 6.5</t>
  </si>
  <si>
    <t>Dzialanie 6.6</t>
  </si>
  <si>
    <t>Dzialanie 6.7</t>
  </si>
  <si>
    <t>Dzialanie 6.8</t>
  </si>
  <si>
    <t>Dzialanie 6.9</t>
  </si>
  <si>
    <t>Dzialanie 6.10</t>
  </si>
  <si>
    <t>Dzialanie 6.11</t>
  </si>
  <si>
    <t>Dzialanie 6.12</t>
  </si>
  <si>
    <t>Fundusze europejskie dla Pomorza bliższego obywatelom</t>
  </si>
  <si>
    <t>Dzialanie 9.1</t>
  </si>
  <si>
    <t>Dzialanie 8.1</t>
  </si>
  <si>
    <t>Dzialanie 7.1</t>
  </si>
  <si>
    <t>Rewitalizacja zdegradowanych obszarów miejskich</t>
  </si>
  <si>
    <t>Pomoc Techniczna EFS+</t>
  </si>
  <si>
    <t>Pomoc Techniczna EFRR</t>
  </si>
  <si>
    <t>Priorytet pomocy technicznej (EFRR)</t>
  </si>
  <si>
    <t>Priorytet pomocy technicznej (EFS+)</t>
  </si>
  <si>
    <t>RAZEM</t>
  </si>
  <si>
    <t>Ogółem EFS+</t>
  </si>
  <si>
    <t>Ogółem EFRR</t>
  </si>
  <si>
    <t>Ogółem</t>
  </si>
  <si>
    <t>2 (viii)</t>
  </si>
  <si>
    <t>3 (ii)</t>
  </si>
  <si>
    <t>4 (a)</t>
  </si>
  <si>
    <t>4 (vi)</t>
  </si>
  <si>
    <t>5 (i)</t>
  </si>
  <si>
    <t>nd</t>
  </si>
  <si>
    <t>2 (v)</t>
  </si>
  <si>
    <t>2 (vi)</t>
  </si>
  <si>
    <t>4 (f)</t>
  </si>
  <si>
    <t>4 (h)</t>
  </si>
  <si>
    <t>4 (ii)</t>
  </si>
  <si>
    <t>4 (v)</t>
  </si>
  <si>
    <t>2 (i)</t>
  </si>
  <si>
    <t>2 (ii)</t>
  </si>
  <si>
    <t>2 (iv)</t>
  </si>
  <si>
    <t>2 (vii)</t>
  </si>
  <si>
    <t>1 (i)</t>
  </si>
  <si>
    <t>1 (iii)</t>
  </si>
  <si>
    <t>4 (b)</t>
  </si>
  <si>
    <t>4 (c)</t>
  </si>
  <si>
    <t>4 (d)</t>
  </si>
  <si>
    <t>4 (g)</t>
  </si>
  <si>
    <t>4 (i)</t>
  </si>
  <si>
    <t>4 (k)</t>
  </si>
  <si>
    <t>4 (l)</t>
  </si>
  <si>
    <t>4 (iii)</t>
  </si>
  <si>
    <t>Priorytet</t>
  </si>
  <si>
    <t>Cel Polityki</t>
  </si>
  <si>
    <t>Działanie</t>
  </si>
  <si>
    <t>Cel szczegółowy</t>
  </si>
  <si>
    <t>Zakres interwencji</t>
  </si>
  <si>
    <t>Orientacyjna alokacja UE</t>
  </si>
  <si>
    <t>(numer)</t>
  </si>
  <si>
    <t>(kod)</t>
  </si>
  <si>
    <t>(EUR)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</si>
  <si>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</si>
  <si>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</si>
  <si>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</si>
  <si>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</si>
  <si>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</si>
  <si>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</si>
  <si>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</si>
  <si>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</si>
  <si>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</si>
  <si>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020</t>
  </si>
  <si>
    <t>021</t>
  </si>
  <si>
    <t>024</t>
  </si>
  <si>
    <t>013</t>
  </si>
  <si>
    <t>042</t>
  </si>
  <si>
    <t>044</t>
  </si>
  <si>
    <t>045</t>
  </si>
  <si>
    <t>046</t>
  </si>
  <si>
    <t>054</t>
  </si>
  <si>
    <t>047</t>
  </si>
  <si>
    <t>048</t>
  </si>
  <si>
    <t>050</t>
  </si>
  <si>
    <t>052</t>
  </si>
  <si>
    <t>058</t>
  </si>
  <si>
    <t>060</t>
  </si>
  <si>
    <t>062</t>
  </si>
  <si>
    <t>065</t>
  </si>
  <si>
    <t>067</t>
  </si>
  <si>
    <t>040</t>
  </si>
  <si>
    <t>075</t>
  </si>
  <si>
    <t>078</t>
  </si>
  <si>
    <t>079</t>
  </si>
  <si>
    <t>077</t>
  </si>
  <si>
    <t>081</t>
  </si>
  <si>
    <t>082</t>
  </si>
  <si>
    <t>083</t>
  </si>
  <si>
    <t>085</t>
  </si>
  <si>
    <t>086</t>
  </si>
  <si>
    <t>093</t>
  </si>
  <si>
    <t>PT</t>
  </si>
  <si>
    <t>1 (ii)</t>
  </si>
  <si>
    <t>016</t>
  </si>
  <si>
    <t>019</t>
  </si>
  <si>
    <t>023</t>
  </si>
  <si>
    <t>026</t>
  </si>
  <si>
    <t>055</t>
  </si>
  <si>
    <t>Tabela finansowa nr 1. Alokacja Programu w podziale na działania, wsparcie UE i wkład krajowy (w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</si>
</sst>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name val="Tahoma"/>
      <family val="2"/>
      <charset val="238"/>
    </font>
    <font>
      <b/>
      <sz val="8"/>
      <color theme="1" tint="0.34998626667073579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color theme="1"/>
      <name val="Tahoma"/>
      <family val="2"/>
      <charset val="238"/>
    </font>
    <font>
      <sz val="7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b/>
      <sz val="8"/>
      <color theme="0" tint="-0.249977111117893"/>
      <name val="Tahoma"/>
      <family val="2"/>
      <charset val="238"/>
    </font>
    <font>
      <b/>
      <sz val="14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7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2" fillId="3" borderId="14" xfId="0" applyFont="1" applyFill="1" applyBorder="1"/>
    <xf numFmtId="0" fontId="2" fillId="3" borderId="1" xfId="0" applyFont="1" applyFill="1" applyBorder="1"/>
    <xf numFmtId="16" fontId="2" fillId="3" borderId="3" xfId="0" quotePrefix="1" applyNumberFormat="1" applyFont="1" applyFill="1" applyBorder="1"/>
    <xf numFmtId="0" fontId="2" fillId="3" borderId="17" xfId="0" applyFont="1" applyFill="1" applyBorder="1"/>
    <xf numFmtId="0" fontId="2" fillId="3" borderId="4" xfId="0" applyFont="1" applyFill="1" applyBorder="1"/>
    <xf numFmtId="0" fontId="3" fillId="4" borderId="14" xfId="0" applyFont="1" applyFill="1" applyBorder="1"/>
    <xf numFmtId="0" fontId="3" fillId="4" borderId="1" xfId="0" applyFont="1" applyFill="1" applyBorder="1"/>
    <xf numFmtId="0" fontId="5" fillId="4" borderId="17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4" borderId="14" xfId="0" applyFont="1" applyFill="1" applyBorder="1"/>
    <xf numFmtId="0" fontId="5" fillId="4" borderId="1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3" fontId="3" fillId="0" borderId="0" xfId="1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7" fillId="2" borderId="1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/>
    <xf numFmtId="3" fontId="3" fillId="0" borderId="0" xfId="0" applyNumberFormat="1" applyFont="1" applyAlignment="1">
      <alignment horizontal="right"/>
    </xf>
    <xf numFmtId="0" fontId="3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9" fontId="3" fillId="0" borderId="0" xfId="1" applyFont="1" applyBorder="1"/>
    <xf numFmtId="3" fontId="9" fillId="0" borderId="0" xfId="0" applyNumberFormat="1" applyFont="1"/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3" fontId="11" fillId="0" borderId="0" xfId="0" applyNumberFormat="1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5" borderId="8" xfId="0" applyNumberFormat="1" applyFont="1" applyFill="1" applyBorder="1"/>
    <xf numFmtId="3" fontId="4" fillId="6" borderId="8" xfId="0" applyNumberFormat="1" applyFont="1" applyFill="1" applyBorder="1"/>
    <xf numFmtId="3" fontId="4" fillId="6" borderId="7" xfId="0" applyNumberFormat="1" applyFont="1" applyFill="1" applyBorder="1"/>
    <xf numFmtId="3" fontId="4" fillId="6" borderId="1" xfId="0" applyNumberFormat="1" applyFont="1" applyFill="1" applyBorder="1"/>
    <xf numFmtId="3" fontId="4" fillId="6" borderId="2" xfId="0" applyNumberFormat="1" applyFont="1" applyFill="1" applyBorder="1"/>
    <xf numFmtId="3" fontId="4" fillId="6" borderId="16" xfId="0" applyNumberFormat="1" applyFont="1" applyFill="1" applyBorder="1"/>
    <xf numFmtId="3" fontId="4" fillId="6" borderId="9" xfId="0" applyNumberFormat="1" applyFont="1" applyFill="1" applyBorder="1"/>
    <xf numFmtId="3" fontId="3" fillId="7" borderId="7" xfId="0" applyNumberFormat="1" applyFont="1" applyFill="1" applyBorder="1"/>
    <xf numFmtId="3" fontId="3" fillId="7" borderId="1" xfId="0" applyNumberFormat="1" applyFont="1" applyFill="1" applyBorder="1"/>
    <xf numFmtId="3" fontId="3" fillId="7" borderId="2" xfId="0" applyNumberFormat="1" applyFont="1" applyFill="1" applyBorder="1"/>
    <xf numFmtId="3" fontId="3" fillId="7" borderId="16" xfId="0" applyNumberFormat="1" applyFont="1" applyFill="1" applyBorder="1"/>
    <xf numFmtId="0" fontId="2" fillId="2" borderId="14" xfId="0" applyFont="1" applyFill="1" applyBorder="1"/>
    <xf numFmtId="0" fontId="6" fillId="2" borderId="1" xfId="0" applyFont="1" applyFill="1" applyBorder="1"/>
    <xf numFmtId="0" fontId="2" fillId="2" borderId="1" xfId="0" applyFont="1" applyFill="1" applyBorder="1"/>
    <xf numFmtId="0" fontId="2" fillId="2" borderId="18" xfId="0" applyFont="1" applyFill="1" applyBorder="1"/>
    <xf numFmtId="0" fontId="6" fillId="2" borderId="19" xfId="0" applyFont="1" applyFill="1" applyBorder="1"/>
    <xf numFmtId="0" fontId="2" fillId="2" borderId="19" xfId="0" applyFont="1" applyFill="1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2" fillId="2" borderId="16" xfId="0" applyNumberFormat="1" applyFont="1" applyFill="1" applyBorder="1"/>
    <xf numFmtId="3" fontId="2" fillId="2" borderId="10" xfId="0" applyNumberFormat="1" applyFont="1" applyFill="1" applyBorder="1"/>
    <xf numFmtId="3" fontId="2" fillId="2" borderId="21" xfId="0" applyNumberFormat="1" applyFont="1" applyFill="1" applyBorder="1"/>
    <xf numFmtId="3" fontId="2" fillId="2" borderId="19" xfId="0" applyNumberFormat="1" applyFont="1" applyFill="1" applyBorder="1"/>
    <xf numFmtId="3" fontId="2" fillId="2" borderId="22" xfId="0" applyNumberFormat="1" applyFont="1" applyFill="1" applyBorder="1"/>
    <xf numFmtId="3" fontId="2" fillId="2" borderId="23" xfId="0" applyNumberFormat="1" applyFont="1" applyFill="1" applyBorder="1"/>
    <xf numFmtId="3" fontId="3" fillId="8" borderId="7" xfId="0" applyNumberFormat="1" applyFont="1" applyFill="1" applyBorder="1"/>
    <xf numFmtId="3" fontId="3" fillId="8" borderId="1" xfId="0" applyNumberFormat="1" applyFont="1" applyFill="1" applyBorder="1"/>
    <xf numFmtId="3" fontId="3" fillId="8" borderId="2" xfId="0" applyNumberFormat="1" applyFont="1" applyFill="1" applyBorder="1"/>
    <xf numFmtId="3" fontId="3" fillId="8" borderId="16" xfId="0" applyNumberFormat="1" applyFont="1" applyFill="1" applyBorder="1"/>
    <xf numFmtId="0" fontId="12" fillId="0" borderId="2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3" fontId="5" fillId="7" borderId="1" xfId="0" applyNumberFormat="1" applyFont="1" applyFill="1" applyBorder="1"/>
    <xf numFmtId="3" fontId="10" fillId="0" borderId="27" xfId="0" applyNumberFormat="1" applyFont="1" applyBorder="1"/>
    <xf numFmtId="3" fontId="3" fillId="0" borderId="26" xfId="0" applyNumberFormat="1" applyFont="1" applyBorder="1"/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5" fillId="9" borderId="1" xfId="0" quotePrefix="1" applyFont="1" applyFill="1" applyBorder="1" applyAlignment="1">
      <alignment horizontal="center" vertical="center"/>
    </xf>
    <xf numFmtId="0" fontId="3" fillId="9" borderId="1" xfId="0" quotePrefix="1" applyFont="1" applyFill="1" applyBorder="1" applyAlignment="1">
      <alignment horizontal="center" vertical="center"/>
    </xf>
    <xf numFmtId="3" fontId="5" fillId="9" borderId="1" xfId="0" applyNumberFormat="1" applyFont="1" applyFill="1" applyBorder="1"/>
    <xf numFmtId="3" fontId="5" fillId="0" borderId="1" xfId="0" applyNumberFormat="1" applyFont="1" applyBorder="1" applyAlignment="1">
      <alignment horizontal="right"/>
    </xf>
    <xf numFmtId="3" fontId="4" fillId="6" borderId="17" xfId="0" applyNumberFormat="1" applyFont="1" applyFill="1" applyBorder="1"/>
    <xf numFmtId="3" fontId="4" fillId="6" borderId="28" xfId="0" applyNumberFormat="1" applyFont="1" applyFill="1" applyBorder="1"/>
    <xf numFmtId="0" fontId="13" fillId="0" borderId="0" xfId="0" applyFont="1"/>
    <xf numFmtId="3" fontId="5" fillId="8" borderId="1" xfId="0" applyNumberFormat="1" applyFont="1" applyFill="1" applyBorder="1"/>
    <xf numFmtId="9" fontId="3" fillId="0" borderId="0" xfId="1" applyFont="1"/>
    <xf numFmtId="3" fontId="5" fillId="9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20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C5C5"/>
      <color rgb="FFFFD1D1"/>
      <color rgb="FFB9F6A0"/>
      <color rgb="FF8CF0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tabSelected="1" zoomScaleNormal="100" workbookViewId="0">
      <pane xSplit="3" ySplit="6" topLeftCell="D21" activePane="bottomRight" state="frozen"/>
      <selection activeCell="I55" sqref="I55"/>
      <selection pane="topRight" activeCell="I55" sqref="I55"/>
      <selection pane="bottomLeft" activeCell="I55" sqref="I55"/>
      <selection pane="bottomRight" activeCell="N1" sqref="N1:Q1"/>
    </sheetView>
  </sheetViews>
  <sheetFormatPr defaultRowHeight="10.199999999999999" x14ac:dyDescent="0.2"/>
  <cols>
    <col min="1" max="1" width="11.109375" style="2" customWidth="1"/>
    <col min="2" max="2" width="5.6640625" style="2" customWidth="1"/>
    <col min="3" max="3" width="40.5546875" style="2" customWidth="1"/>
    <col min="4" max="4" width="4.5546875" style="2" customWidth="1"/>
    <col min="5" max="5" width="13.109375" style="2" customWidth="1"/>
    <col min="6" max="6" width="8.88671875" style="2"/>
    <col min="7" max="7" width="12.21875" style="2" bestFit="1" customWidth="1"/>
    <col min="8" max="8" width="10.5546875" style="2" bestFit="1" customWidth="1"/>
    <col min="9" max="9" width="8.88671875" style="2"/>
    <col min="10" max="10" width="12.88671875" style="2" bestFit="1" customWidth="1"/>
    <col min="11" max="11" width="10.44140625" style="2" customWidth="1"/>
    <col min="12" max="13" width="10" style="2" customWidth="1"/>
    <col min="14" max="14" width="10.5546875" style="2" customWidth="1"/>
    <col min="15" max="15" width="10.77734375" style="2" customWidth="1"/>
    <col min="16" max="16" width="13.44140625" style="2" customWidth="1"/>
    <col min="17" max="16384" width="8.88671875" style="2"/>
  </cols>
  <sheetData>
    <row r="1" spans="1:20" ht="50.4" customHeight="1" thickBot="1" x14ac:dyDescent="0.25">
      <c r="A1" s="82" t="s">
        <v>265</v>
      </c>
      <c r="B1" s="82"/>
      <c r="C1" s="82"/>
      <c r="D1" s="82"/>
      <c r="E1" s="82"/>
      <c r="F1" s="82"/>
      <c r="G1" s="82"/>
      <c r="H1" s="82"/>
      <c r="I1" s="82"/>
      <c r="N1" s="139"/>
      <c r="O1" s="140"/>
      <c r="P1" s="140"/>
      <c r="Q1" s="140"/>
    </row>
    <row r="2" spans="1:20" x14ac:dyDescent="0.2">
      <c r="A2" s="131" t="s">
        <v>0</v>
      </c>
      <c r="B2" s="133" t="s">
        <v>1</v>
      </c>
      <c r="C2" s="133"/>
      <c r="D2" s="133" t="s">
        <v>2</v>
      </c>
      <c r="E2" s="130" t="s">
        <v>3</v>
      </c>
      <c r="F2" s="130"/>
      <c r="G2" s="130"/>
      <c r="H2" s="130"/>
      <c r="I2" s="130"/>
      <c r="J2" s="49" t="s">
        <v>9</v>
      </c>
      <c r="K2" s="130" t="s">
        <v>10</v>
      </c>
      <c r="L2" s="130"/>
      <c r="M2" s="130"/>
      <c r="N2" s="130"/>
      <c r="O2" s="135" t="s">
        <v>14</v>
      </c>
      <c r="P2" s="135" t="s">
        <v>15</v>
      </c>
      <c r="Q2" s="137" t="s">
        <v>16</v>
      </c>
    </row>
    <row r="3" spans="1:20" ht="30.6" x14ac:dyDescent="0.2">
      <c r="A3" s="132"/>
      <c r="B3" s="134"/>
      <c r="C3" s="134"/>
      <c r="D3" s="134"/>
      <c r="E3" s="50" t="s">
        <v>4</v>
      </c>
      <c r="F3" s="50" t="s">
        <v>5</v>
      </c>
      <c r="G3" s="50" t="s">
        <v>6</v>
      </c>
      <c r="H3" s="50" t="s">
        <v>7</v>
      </c>
      <c r="I3" s="50" t="s">
        <v>8</v>
      </c>
      <c r="J3" s="50" t="s">
        <v>4</v>
      </c>
      <c r="K3" s="50" t="s">
        <v>4</v>
      </c>
      <c r="L3" s="50" t="s">
        <v>11</v>
      </c>
      <c r="M3" s="50" t="s">
        <v>12</v>
      </c>
      <c r="N3" s="50" t="s">
        <v>13</v>
      </c>
      <c r="O3" s="136"/>
      <c r="P3" s="136"/>
      <c r="Q3" s="138"/>
    </row>
    <row r="4" spans="1:20" x14ac:dyDescent="0.2">
      <c r="A4" s="132"/>
      <c r="B4" s="134"/>
      <c r="C4" s="134"/>
      <c r="D4" s="134"/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24</v>
      </c>
      <c r="M4" s="4" t="s">
        <v>25</v>
      </c>
      <c r="N4" s="4" t="s">
        <v>26</v>
      </c>
      <c r="O4" s="4" t="s">
        <v>29</v>
      </c>
      <c r="P4" s="4" t="s">
        <v>27</v>
      </c>
      <c r="Q4" s="6" t="s">
        <v>28</v>
      </c>
    </row>
    <row r="5" spans="1:20" x14ac:dyDescent="0.2">
      <c r="A5" s="132"/>
      <c r="B5" s="134"/>
      <c r="C5" s="134"/>
      <c r="D5" s="134"/>
      <c r="E5" s="1" t="s">
        <v>30</v>
      </c>
      <c r="F5" s="4"/>
      <c r="G5" s="4"/>
      <c r="H5" s="4"/>
      <c r="I5" s="4"/>
      <c r="J5" s="1" t="s">
        <v>31</v>
      </c>
      <c r="K5" s="1" t="s">
        <v>32</v>
      </c>
      <c r="L5" s="4"/>
      <c r="M5" s="4"/>
      <c r="N5" s="4"/>
      <c r="O5" s="4"/>
      <c r="P5" s="1" t="s">
        <v>33</v>
      </c>
      <c r="Q5" s="6"/>
    </row>
    <row r="6" spans="1:20" ht="7.2" customHeight="1" x14ac:dyDescent="0.2">
      <c r="A6" s="7"/>
      <c r="B6" s="3"/>
      <c r="C6" s="3"/>
      <c r="D6" s="3"/>
      <c r="E6" s="5"/>
      <c r="F6" s="3"/>
      <c r="G6" s="3"/>
      <c r="H6" s="3"/>
      <c r="I6" s="3"/>
      <c r="J6" s="5"/>
      <c r="K6" s="5"/>
      <c r="L6" s="3"/>
      <c r="M6" s="3"/>
      <c r="N6" s="3"/>
      <c r="O6" s="3"/>
      <c r="P6" s="5"/>
      <c r="Q6" s="8"/>
    </row>
    <row r="7" spans="1:20" ht="15" customHeight="1" x14ac:dyDescent="0.2">
      <c r="A7" s="9" t="s">
        <v>34</v>
      </c>
      <c r="B7" s="27"/>
      <c r="C7" s="10" t="s">
        <v>62</v>
      </c>
      <c r="D7" s="127" t="s">
        <v>43</v>
      </c>
      <c r="E7" s="55">
        <f t="shared" ref="E7:F7" si="0">SUM(E8:E13)</f>
        <v>183808765</v>
      </c>
      <c r="F7" s="55">
        <f t="shared" si="0"/>
        <v>0</v>
      </c>
      <c r="G7" s="55">
        <f t="shared" ref="G7" si="1">SUM(G8:G13)</f>
        <v>183808765</v>
      </c>
      <c r="H7" s="55">
        <f t="shared" ref="H7" si="2">SUM(H8:H13)</f>
        <v>0</v>
      </c>
      <c r="I7" s="55">
        <f t="shared" ref="I7" si="3">SUM(I8:I13)</f>
        <v>0</v>
      </c>
      <c r="J7" s="55">
        <f t="shared" ref="J7" si="4">SUM(J8:J13)</f>
        <v>32436841</v>
      </c>
      <c r="K7" s="55">
        <f t="shared" ref="K7" si="5">SUM(K8:K13)</f>
        <v>6522001</v>
      </c>
      <c r="L7" s="55">
        <f t="shared" ref="L7:N7" si="6">SUM(L8:L13)</f>
        <v>0</v>
      </c>
      <c r="M7" s="55">
        <f t="shared" si="6"/>
        <v>0</v>
      </c>
      <c r="N7" s="55">
        <f t="shared" si="6"/>
        <v>6522001</v>
      </c>
      <c r="O7" s="55">
        <f>SUM(O8:O13)</f>
        <v>25914840</v>
      </c>
      <c r="P7" s="55">
        <f t="shared" ref="P7:Q7" si="7">SUM(P8:P13)</f>
        <v>216245606</v>
      </c>
      <c r="Q7" s="54">
        <f t="shared" si="7"/>
        <v>0</v>
      </c>
      <c r="S7" s="105"/>
      <c r="T7" s="105"/>
    </row>
    <row r="8" spans="1:20" ht="15" customHeight="1" x14ac:dyDescent="0.2">
      <c r="A8" s="19" t="s">
        <v>81</v>
      </c>
      <c r="B8" s="23" t="s">
        <v>201</v>
      </c>
      <c r="C8" s="20" t="s">
        <v>56</v>
      </c>
      <c r="D8" s="128"/>
      <c r="E8" s="51">
        <f t="shared" ref="E8:E13" si="8">F8+G8+H8+I8</f>
        <v>40354011</v>
      </c>
      <c r="F8" s="58">
        <v>0</v>
      </c>
      <c r="G8" s="59">
        <v>40354011</v>
      </c>
      <c r="H8" s="59">
        <v>0</v>
      </c>
      <c r="I8" s="60">
        <v>0</v>
      </c>
      <c r="J8" s="51">
        <f t="shared" ref="J8:J13" si="9">K8+O8</f>
        <v>18244579</v>
      </c>
      <c r="K8" s="51">
        <f t="shared" ref="K8:K13" si="10">L8+M8+N8</f>
        <v>0</v>
      </c>
      <c r="L8" s="58">
        <v>0</v>
      </c>
      <c r="M8" s="59">
        <v>0</v>
      </c>
      <c r="N8" s="59">
        <v>0</v>
      </c>
      <c r="O8" s="60">
        <v>18244579</v>
      </c>
      <c r="P8" s="51">
        <f t="shared" ref="P8:P13" si="11">E8+J8</f>
        <v>58598590</v>
      </c>
      <c r="Q8" s="61">
        <v>0</v>
      </c>
      <c r="S8" s="105"/>
      <c r="T8" s="105"/>
    </row>
    <row r="9" spans="1:20" ht="15" customHeight="1" x14ac:dyDescent="0.2">
      <c r="A9" s="19" t="s">
        <v>82</v>
      </c>
      <c r="B9" s="23" t="s">
        <v>201</v>
      </c>
      <c r="C9" s="20" t="s">
        <v>57</v>
      </c>
      <c r="D9" s="128"/>
      <c r="E9" s="51">
        <f t="shared" si="8"/>
        <v>15280935</v>
      </c>
      <c r="F9" s="58">
        <v>0</v>
      </c>
      <c r="G9" s="59">
        <v>15280935</v>
      </c>
      <c r="H9" s="59">
        <v>0</v>
      </c>
      <c r="I9" s="60">
        <v>0</v>
      </c>
      <c r="J9" s="51">
        <f t="shared" si="9"/>
        <v>2696636</v>
      </c>
      <c r="K9" s="51">
        <f t="shared" si="10"/>
        <v>1797757</v>
      </c>
      <c r="L9" s="58">
        <v>0</v>
      </c>
      <c r="M9" s="59">
        <v>0</v>
      </c>
      <c r="N9" s="59">
        <v>1797757</v>
      </c>
      <c r="O9" s="60">
        <v>898879</v>
      </c>
      <c r="P9" s="51">
        <f t="shared" si="11"/>
        <v>17977571</v>
      </c>
      <c r="Q9" s="61">
        <v>0</v>
      </c>
      <c r="S9" s="105"/>
      <c r="T9" s="105"/>
    </row>
    <row r="10" spans="1:20" ht="15" customHeight="1" x14ac:dyDescent="0.2">
      <c r="A10" s="19" t="s">
        <v>83</v>
      </c>
      <c r="B10" s="23" t="s">
        <v>201</v>
      </c>
      <c r="C10" s="20" t="s">
        <v>58</v>
      </c>
      <c r="D10" s="128"/>
      <c r="E10" s="51">
        <f t="shared" si="8"/>
        <v>3901516</v>
      </c>
      <c r="F10" s="58">
        <v>0</v>
      </c>
      <c r="G10" s="59">
        <v>3901516</v>
      </c>
      <c r="H10" s="59">
        <v>0</v>
      </c>
      <c r="I10" s="60">
        <v>0</v>
      </c>
      <c r="J10" s="51">
        <f t="shared" si="9"/>
        <v>0</v>
      </c>
      <c r="K10" s="51">
        <f t="shared" si="10"/>
        <v>0</v>
      </c>
      <c r="L10" s="58">
        <v>0</v>
      </c>
      <c r="M10" s="59">
        <v>0</v>
      </c>
      <c r="N10" s="59">
        <v>0</v>
      </c>
      <c r="O10" s="60">
        <v>0</v>
      </c>
      <c r="P10" s="51">
        <f t="shared" si="11"/>
        <v>3901516</v>
      </c>
      <c r="Q10" s="61">
        <v>0</v>
      </c>
      <c r="S10" s="105"/>
      <c r="T10" s="105"/>
    </row>
    <row r="11" spans="1:20" ht="15" customHeight="1" x14ac:dyDescent="0.2">
      <c r="A11" s="19" t="s">
        <v>84</v>
      </c>
      <c r="B11" s="23" t="s">
        <v>259</v>
      </c>
      <c r="C11" s="20" t="s">
        <v>59</v>
      </c>
      <c r="D11" s="128"/>
      <c r="E11" s="51">
        <f t="shared" si="8"/>
        <v>29395068</v>
      </c>
      <c r="F11" s="58">
        <v>0</v>
      </c>
      <c r="G11" s="59">
        <v>29395068</v>
      </c>
      <c r="H11" s="59">
        <v>0</v>
      </c>
      <c r="I11" s="60">
        <v>0</v>
      </c>
      <c r="J11" s="51">
        <f t="shared" si="9"/>
        <v>5187365</v>
      </c>
      <c r="K11" s="51">
        <f t="shared" si="10"/>
        <v>518737</v>
      </c>
      <c r="L11" s="58">
        <v>0</v>
      </c>
      <c r="M11" s="59">
        <v>0</v>
      </c>
      <c r="N11" s="59">
        <v>518737</v>
      </c>
      <c r="O11" s="60">
        <v>4668628</v>
      </c>
      <c r="P11" s="51">
        <f t="shared" si="11"/>
        <v>34582433</v>
      </c>
      <c r="Q11" s="61">
        <v>0</v>
      </c>
      <c r="S11" s="105"/>
      <c r="T11" s="105"/>
    </row>
    <row r="12" spans="1:20" ht="15" customHeight="1" x14ac:dyDescent="0.2">
      <c r="A12" s="19" t="s">
        <v>85</v>
      </c>
      <c r="B12" s="23" t="s">
        <v>202</v>
      </c>
      <c r="C12" s="20" t="s">
        <v>60</v>
      </c>
      <c r="D12" s="128"/>
      <c r="E12" s="51">
        <f t="shared" si="8"/>
        <v>59130424</v>
      </c>
      <c r="F12" s="58">
        <v>0</v>
      </c>
      <c r="G12" s="59">
        <v>59130424</v>
      </c>
      <c r="H12" s="59">
        <v>0</v>
      </c>
      <c r="I12" s="60">
        <v>0</v>
      </c>
      <c r="J12" s="51">
        <f t="shared" si="9"/>
        <v>0</v>
      </c>
      <c r="K12" s="51">
        <f t="shared" si="10"/>
        <v>0</v>
      </c>
      <c r="L12" s="58">
        <v>0</v>
      </c>
      <c r="M12" s="59">
        <v>0</v>
      </c>
      <c r="N12" s="59">
        <v>0</v>
      </c>
      <c r="O12" s="60">
        <v>0</v>
      </c>
      <c r="P12" s="51">
        <f t="shared" si="11"/>
        <v>59130424</v>
      </c>
      <c r="Q12" s="61">
        <v>0</v>
      </c>
      <c r="S12" s="105"/>
      <c r="T12" s="105"/>
    </row>
    <row r="13" spans="1:20" ht="15" customHeight="1" x14ac:dyDescent="0.2">
      <c r="A13" s="19" t="s">
        <v>86</v>
      </c>
      <c r="B13" s="23" t="s">
        <v>202</v>
      </c>
      <c r="C13" s="20" t="s">
        <v>61</v>
      </c>
      <c r="D13" s="128"/>
      <c r="E13" s="51">
        <f t="shared" si="8"/>
        <v>35746811</v>
      </c>
      <c r="F13" s="58">
        <v>0</v>
      </c>
      <c r="G13" s="59">
        <v>35746811</v>
      </c>
      <c r="H13" s="59">
        <v>0</v>
      </c>
      <c r="I13" s="60">
        <v>0</v>
      </c>
      <c r="J13" s="51">
        <f t="shared" si="9"/>
        <v>6308261</v>
      </c>
      <c r="K13" s="51">
        <f t="shared" si="10"/>
        <v>4205507</v>
      </c>
      <c r="L13" s="58">
        <v>0</v>
      </c>
      <c r="M13" s="59">
        <v>0</v>
      </c>
      <c r="N13" s="59">
        <v>4205507</v>
      </c>
      <c r="O13" s="60">
        <v>2102754</v>
      </c>
      <c r="P13" s="51">
        <f t="shared" si="11"/>
        <v>42055072</v>
      </c>
      <c r="Q13" s="61">
        <v>0</v>
      </c>
      <c r="S13" s="105"/>
      <c r="T13" s="105"/>
    </row>
    <row r="14" spans="1:20" ht="15" customHeight="1" x14ac:dyDescent="0.2">
      <c r="A14" s="9" t="s">
        <v>35</v>
      </c>
      <c r="B14" s="27"/>
      <c r="C14" s="10" t="s">
        <v>63</v>
      </c>
      <c r="D14" s="128"/>
      <c r="E14" s="56">
        <f t="shared" ref="E14:P14" si="12">SUM(E15:E31)</f>
        <v>345599651</v>
      </c>
      <c r="F14" s="104">
        <f t="shared" si="12"/>
        <v>0</v>
      </c>
      <c r="G14" s="54">
        <f t="shared" si="12"/>
        <v>345599651</v>
      </c>
      <c r="H14" s="54">
        <f t="shared" si="12"/>
        <v>0</v>
      </c>
      <c r="I14" s="56">
        <f t="shared" si="12"/>
        <v>0</v>
      </c>
      <c r="J14" s="56">
        <f t="shared" si="12"/>
        <v>60988174.489274345</v>
      </c>
      <c r="K14" s="56">
        <f t="shared" si="12"/>
        <v>52349420.040346906</v>
      </c>
      <c r="L14" s="104">
        <f t="shared" si="12"/>
        <v>2950000</v>
      </c>
      <c r="M14" s="54">
        <f t="shared" si="12"/>
        <v>0</v>
      </c>
      <c r="N14" s="54">
        <f t="shared" si="12"/>
        <v>49399420.040346906</v>
      </c>
      <c r="O14" s="56">
        <f t="shared" si="12"/>
        <v>8638754.448927436</v>
      </c>
      <c r="P14" s="56">
        <f t="shared" si="12"/>
        <v>406587825.48927438</v>
      </c>
      <c r="Q14" s="56">
        <f>SUM(Q15:Q31)</f>
        <v>0</v>
      </c>
      <c r="S14" s="105"/>
      <c r="T14" s="105"/>
    </row>
    <row r="15" spans="1:20" ht="15" customHeight="1" x14ac:dyDescent="0.2">
      <c r="A15" s="19" t="s">
        <v>87</v>
      </c>
      <c r="B15" s="26" t="s">
        <v>197</v>
      </c>
      <c r="C15" s="21" t="s">
        <v>64</v>
      </c>
      <c r="D15" s="128"/>
      <c r="E15" s="51">
        <f t="shared" ref="E15:E31" si="13">F15+G15+H15+I15</f>
        <v>31845047</v>
      </c>
      <c r="F15" s="58">
        <v>0</v>
      </c>
      <c r="G15" s="94">
        <v>31845047</v>
      </c>
      <c r="H15" s="59">
        <v>0</v>
      </c>
      <c r="I15" s="60">
        <v>0</v>
      </c>
      <c r="J15" s="51">
        <f t="shared" ref="J15:J31" si="14">K15+O15</f>
        <v>5619714.252954673</v>
      </c>
      <c r="K15" s="51">
        <f t="shared" ref="K15:K31" si="15">L15+M15+N15</f>
        <v>5057742.8276592055</v>
      </c>
      <c r="L15" s="58">
        <v>0</v>
      </c>
      <c r="M15" s="59">
        <v>0</v>
      </c>
      <c r="N15" s="59">
        <v>5057742.8276592055</v>
      </c>
      <c r="O15" s="60">
        <v>561971.42529546726</v>
      </c>
      <c r="P15" s="51">
        <f t="shared" ref="P15:P31" si="16">E15+J15</f>
        <v>37464761.252954677</v>
      </c>
      <c r="Q15" s="61">
        <v>0</v>
      </c>
      <c r="S15" s="105"/>
      <c r="T15" s="105"/>
    </row>
    <row r="16" spans="1:20" ht="15" customHeight="1" x14ac:dyDescent="0.2">
      <c r="A16" s="19" t="s">
        <v>88</v>
      </c>
      <c r="B16" s="26" t="s">
        <v>197</v>
      </c>
      <c r="C16" s="21" t="s">
        <v>65</v>
      </c>
      <c r="D16" s="128"/>
      <c r="E16" s="51">
        <f t="shared" si="13"/>
        <v>51334373</v>
      </c>
      <c r="F16" s="58">
        <v>0</v>
      </c>
      <c r="G16" s="94">
        <v>51334373</v>
      </c>
      <c r="H16" s="59">
        <v>0</v>
      </c>
      <c r="I16" s="60">
        <v>0</v>
      </c>
      <c r="J16" s="51">
        <f t="shared" si="14"/>
        <v>9059007</v>
      </c>
      <c r="K16" s="51">
        <f t="shared" si="15"/>
        <v>8153106</v>
      </c>
      <c r="L16" s="58">
        <v>0</v>
      </c>
      <c r="M16" s="59">
        <v>0</v>
      </c>
      <c r="N16" s="59">
        <v>8153106</v>
      </c>
      <c r="O16" s="60">
        <v>905901</v>
      </c>
      <c r="P16" s="51">
        <f t="shared" si="16"/>
        <v>60393380</v>
      </c>
      <c r="Q16" s="61">
        <v>0</v>
      </c>
      <c r="S16" s="105"/>
      <c r="T16" s="105"/>
    </row>
    <row r="17" spans="1:20" ht="15" customHeight="1" x14ac:dyDescent="0.2">
      <c r="A17" s="19" t="s">
        <v>89</v>
      </c>
      <c r="B17" s="26" t="s">
        <v>197</v>
      </c>
      <c r="C17" s="21" t="s">
        <v>66</v>
      </c>
      <c r="D17" s="128"/>
      <c r="E17" s="51">
        <f t="shared" si="13"/>
        <v>51364722</v>
      </c>
      <c r="F17" s="58">
        <v>0</v>
      </c>
      <c r="G17" s="94">
        <v>51364722</v>
      </c>
      <c r="H17" s="59">
        <v>0</v>
      </c>
      <c r="I17" s="60">
        <v>0</v>
      </c>
      <c r="J17" s="51">
        <f t="shared" si="14"/>
        <v>9064363</v>
      </c>
      <c r="K17" s="51">
        <f t="shared" si="15"/>
        <v>8157927</v>
      </c>
      <c r="L17" s="58">
        <v>0</v>
      </c>
      <c r="M17" s="59">
        <v>0</v>
      </c>
      <c r="N17" s="59">
        <v>8157927</v>
      </c>
      <c r="O17" s="60">
        <v>906436</v>
      </c>
      <c r="P17" s="51">
        <f t="shared" si="16"/>
        <v>60429085</v>
      </c>
      <c r="Q17" s="61">
        <v>0</v>
      </c>
      <c r="S17" s="105"/>
      <c r="T17" s="105"/>
    </row>
    <row r="18" spans="1:20" ht="15" customHeight="1" x14ac:dyDescent="0.2">
      <c r="A18" s="19" t="s">
        <v>90</v>
      </c>
      <c r="B18" s="26" t="s">
        <v>197</v>
      </c>
      <c r="C18" s="21" t="s">
        <v>67</v>
      </c>
      <c r="D18" s="128"/>
      <c r="E18" s="51">
        <f t="shared" si="13"/>
        <v>10000000</v>
      </c>
      <c r="F18" s="58">
        <v>0</v>
      </c>
      <c r="G18" s="94">
        <v>10000000</v>
      </c>
      <c r="H18" s="59">
        <v>0</v>
      </c>
      <c r="I18" s="60">
        <v>0</v>
      </c>
      <c r="J18" s="51">
        <f t="shared" si="14"/>
        <v>1764705.9063705176</v>
      </c>
      <c r="K18" s="51">
        <f t="shared" si="15"/>
        <v>1588235.3157334658</v>
      </c>
      <c r="L18" s="58">
        <v>0</v>
      </c>
      <c r="M18" s="59">
        <v>0</v>
      </c>
      <c r="N18" s="59">
        <v>1588235.3157334658</v>
      </c>
      <c r="O18" s="60">
        <v>176470.59063705176</v>
      </c>
      <c r="P18" s="51">
        <f t="shared" si="16"/>
        <v>11764705.906370517</v>
      </c>
      <c r="Q18" s="61">
        <v>0</v>
      </c>
      <c r="S18" s="105"/>
      <c r="T18" s="105"/>
    </row>
    <row r="19" spans="1:20" ht="15" customHeight="1" x14ac:dyDescent="0.2">
      <c r="A19" s="19" t="s">
        <v>91</v>
      </c>
      <c r="B19" s="26" t="s">
        <v>197</v>
      </c>
      <c r="C19" s="21" t="s">
        <v>68</v>
      </c>
      <c r="D19" s="128"/>
      <c r="E19" s="51">
        <f t="shared" si="13"/>
        <v>19365394</v>
      </c>
      <c r="F19" s="58">
        <v>0</v>
      </c>
      <c r="G19" s="94">
        <v>19365394</v>
      </c>
      <c r="H19" s="59">
        <v>0</v>
      </c>
      <c r="I19" s="60">
        <v>0</v>
      </c>
      <c r="J19" s="51">
        <f t="shared" si="14"/>
        <v>3417422</v>
      </c>
      <c r="K19" s="51">
        <f t="shared" si="15"/>
        <v>2278281</v>
      </c>
      <c r="L19" s="58">
        <v>0</v>
      </c>
      <c r="M19" s="59">
        <v>0</v>
      </c>
      <c r="N19" s="59">
        <v>2278281</v>
      </c>
      <c r="O19" s="60">
        <v>1139141</v>
      </c>
      <c r="P19" s="51">
        <f t="shared" si="16"/>
        <v>22782816</v>
      </c>
      <c r="Q19" s="61">
        <v>0</v>
      </c>
      <c r="S19" s="105"/>
      <c r="T19" s="105"/>
    </row>
    <row r="20" spans="1:20" ht="15" customHeight="1" x14ac:dyDescent="0.2">
      <c r="A20" s="19" t="s">
        <v>92</v>
      </c>
      <c r="B20" s="26" t="s">
        <v>198</v>
      </c>
      <c r="C20" s="21" t="s">
        <v>69</v>
      </c>
      <c r="D20" s="128"/>
      <c r="E20" s="51">
        <f t="shared" si="13"/>
        <v>14441670</v>
      </c>
      <c r="F20" s="58">
        <v>0</v>
      </c>
      <c r="G20" s="94">
        <v>14441670</v>
      </c>
      <c r="H20" s="59">
        <v>0</v>
      </c>
      <c r="I20" s="60">
        <v>0</v>
      </c>
      <c r="J20" s="51">
        <f t="shared" si="14"/>
        <v>2548530.0346853915</v>
      </c>
      <c r="K20" s="51">
        <f t="shared" si="15"/>
        <v>2293677.0312168524</v>
      </c>
      <c r="L20" s="58">
        <v>0</v>
      </c>
      <c r="M20" s="59">
        <v>0</v>
      </c>
      <c r="N20" s="59">
        <v>2293677.0312168524</v>
      </c>
      <c r="O20" s="60">
        <v>254853.00346853913</v>
      </c>
      <c r="P20" s="51">
        <f t="shared" si="16"/>
        <v>16990200.034685392</v>
      </c>
      <c r="Q20" s="61">
        <v>0</v>
      </c>
      <c r="S20" s="105"/>
      <c r="T20" s="105"/>
    </row>
    <row r="21" spans="1:20" ht="15" customHeight="1" x14ac:dyDescent="0.2">
      <c r="A21" s="19" t="s">
        <v>93</v>
      </c>
      <c r="B21" s="26" t="s">
        <v>198</v>
      </c>
      <c r="C21" s="21" t="s">
        <v>70</v>
      </c>
      <c r="D21" s="128"/>
      <c r="E21" s="51">
        <f t="shared" si="13"/>
        <v>10000000</v>
      </c>
      <c r="F21" s="58">
        <v>0</v>
      </c>
      <c r="G21" s="94">
        <v>10000000</v>
      </c>
      <c r="H21" s="59">
        <v>0</v>
      </c>
      <c r="I21" s="60">
        <v>0</v>
      </c>
      <c r="J21" s="51">
        <f t="shared" si="14"/>
        <v>1764705.9063705176</v>
      </c>
      <c r="K21" s="51">
        <f t="shared" si="15"/>
        <v>1588235.3157334658</v>
      </c>
      <c r="L21" s="58">
        <v>0</v>
      </c>
      <c r="M21" s="59">
        <v>0</v>
      </c>
      <c r="N21" s="59">
        <v>1588235.3157334658</v>
      </c>
      <c r="O21" s="60">
        <v>176470.59063705176</v>
      </c>
      <c r="P21" s="51">
        <f t="shared" si="16"/>
        <v>11764705.906370517</v>
      </c>
      <c r="Q21" s="61">
        <v>0</v>
      </c>
      <c r="S21" s="105"/>
      <c r="T21" s="105"/>
    </row>
    <row r="22" spans="1:20" ht="15" customHeight="1" x14ac:dyDescent="0.2">
      <c r="A22" s="19" t="s">
        <v>94</v>
      </c>
      <c r="B22" s="26" t="s">
        <v>198</v>
      </c>
      <c r="C22" s="21" t="s">
        <v>71</v>
      </c>
      <c r="D22" s="128"/>
      <c r="E22" s="51">
        <f t="shared" si="13"/>
        <v>22916218</v>
      </c>
      <c r="F22" s="58">
        <v>0</v>
      </c>
      <c r="G22" s="94">
        <v>22916218</v>
      </c>
      <c r="H22" s="59">
        <v>0</v>
      </c>
      <c r="I22" s="60">
        <v>0</v>
      </c>
      <c r="J22" s="51">
        <f t="shared" si="14"/>
        <v>4044038</v>
      </c>
      <c r="K22" s="51">
        <f t="shared" si="15"/>
        <v>2696025</v>
      </c>
      <c r="L22" s="58">
        <v>0</v>
      </c>
      <c r="M22" s="59">
        <v>0</v>
      </c>
      <c r="N22" s="59">
        <v>2696025</v>
      </c>
      <c r="O22" s="60">
        <v>1348013</v>
      </c>
      <c r="P22" s="51">
        <f t="shared" si="16"/>
        <v>26960256</v>
      </c>
      <c r="Q22" s="61">
        <v>0</v>
      </c>
      <c r="S22" s="105"/>
      <c r="T22" s="105"/>
    </row>
    <row r="23" spans="1:20" ht="15" customHeight="1" x14ac:dyDescent="0.2">
      <c r="A23" s="19" t="s">
        <v>95</v>
      </c>
      <c r="B23" s="26" t="s">
        <v>199</v>
      </c>
      <c r="C23" s="21" t="s">
        <v>72</v>
      </c>
      <c r="D23" s="128"/>
      <c r="E23" s="51">
        <f t="shared" si="13"/>
        <v>15940612</v>
      </c>
      <c r="F23" s="58">
        <v>0</v>
      </c>
      <c r="G23" s="94">
        <v>15940612</v>
      </c>
      <c r="H23" s="59">
        <v>0</v>
      </c>
      <c r="I23" s="60">
        <v>0</v>
      </c>
      <c r="J23" s="51">
        <f t="shared" si="14"/>
        <v>2813049</v>
      </c>
      <c r="K23" s="51">
        <f t="shared" si="15"/>
        <v>2531744</v>
      </c>
      <c r="L23" s="58">
        <v>350000</v>
      </c>
      <c r="M23" s="59">
        <v>0</v>
      </c>
      <c r="N23" s="59">
        <v>2181744</v>
      </c>
      <c r="O23" s="60">
        <v>281305</v>
      </c>
      <c r="P23" s="51">
        <f t="shared" si="16"/>
        <v>18753661</v>
      </c>
      <c r="Q23" s="61">
        <v>0</v>
      </c>
      <c r="S23" s="105"/>
      <c r="T23" s="105"/>
    </row>
    <row r="24" spans="1:20" ht="15" customHeight="1" x14ac:dyDescent="0.2">
      <c r="A24" s="19" t="s">
        <v>96</v>
      </c>
      <c r="B24" s="26" t="s">
        <v>199</v>
      </c>
      <c r="C24" s="21" t="s">
        <v>73</v>
      </c>
      <c r="D24" s="128"/>
      <c r="E24" s="51">
        <f t="shared" si="13"/>
        <v>12013830</v>
      </c>
      <c r="F24" s="58">
        <v>0</v>
      </c>
      <c r="G24" s="94">
        <v>12013830</v>
      </c>
      <c r="H24" s="59">
        <v>0</v>
      </c>
      <c r="I24" s="60">
        <v>0</v>
      </c>
      <c r="J24" s="51">
        <f t="shared" si="14"/>
        <v>2120088</v>
      </c>
      <c r="K24" s="51">
        <f t="shared" si="15"/>
        <v>1908079</v>
      </c>
      <c r="L24" s="58">
        <v>0</v>
      </c>
      <c r="M24" s="59">
        <v>0</v>
      </c>
      <c r="N24" s="59">
        <v>1908079</v>
      </c>
      <c r="O24" s="60">
        <v>212009</v>
      </c>
      <c r="P24" s="51">
        <f t="shared" si="16"/>
        <v>14133918</v>
      </c>
      <c r="Q24" s="61">
        <v>0</v>
      </c>
      <c r="S24" s="105"/>
      <c r="T24" s="105"/>
    </row>
    <row r="25" spans="1:20" ht="15" customHeight="1" x14ac:dyDescent="0.2">
      <c r="A25" s="19" t="s">
        <v>97</v>
      </c>
      <c r="B25" s="26" t="s">
        <v>199</v>
      </c>
      <c r="C25" s="21" t="s">
        <v>74</v>
      </c>
      <c r="D25" s="128"/>
      <c r="E25" s="51">
        <f t="shared" si="13"/>
        <v>18803533</v>
      </c>
      <c r="F25" s="58">
        <v>0</v>
      </c>
      <c r="G25" s="94">
        <v>18803533</v>
      </c>
      <c r="H25" s="59">
        <v>0</v>
      </c>
      <c r="I25" s="60">
        <v>0</v>
      </c>
      <c r="J25" s="51">
        <f t="shared" si="14"/>
        <v>3318271</v>
      </c>
      <c r="K25" s="51">
        <f t="shared" si="15"/>
        <v>2986444</v>
      </c>
      <c r="L25" s="58">
        <v>0</v>
      </c>
      <c r="M25" s="59">
        <v>0</v>
      </c>
      <c r="N25" s="59">
        <v>2986444</v>
      </c>
      <c r="O25" s="60">
        <v>331827</v>
      </c>
      <c r="P25" s="51">
        <f t="shared" si="16"/>
        <v>22121804</v>
      </c>
      <c r="Q25" s="61">
        <v>0</v>
      </c>
      <c r="S25" s="105"/>
      <c r="T25" s="105"/>
    </row>
    <row r="26" spans="1:20" ht="15" customHeight="1" x14ac:dyDescent="0.2">
      <c r="A26" s="19" t="s">
        <v>98</v>
      </c>
      <c r="B26" s="26" t="s">
        <v>191</v>
      </c>
      <c r="C26" s="21" t="s">
        <v>75</v>
      </c>
      <c r="D26" s="128"/>
      <c r="E26" s="51">
        <f t="shared" si="13"/>
        <v>21253625</v>
      </c>
      <c r="F26" s="58">
        <v>0</v>
      </c>
      <c r="G26" s="94">
        <v>21253625</v>
      </c>
      <c r="H26" s="59">
        <v>0</v>
      </c>
      <c r="I26" s="60">
        <v>0</v>
      </c>
      <c r="J26" s="51">
        <f t="shared" si="14"/>
        <v>3750639.7569284108</v>
      </c>
      <c r="K26" s="51">
        <f t="shared" si="15"/>
        <v>3375575.7812355701</v>
      </c>
      <c r="L26" s="58">
        <v>2000000</v>
      </c>
      <c r="M26" s="59">
        <v>0</v>
      </c>
      <c r="N26" s="59">
        <v>1375575.7812355701</v>
      </c>
      <c r="O26" s="60">
        <v>375063.97569284093</v>
      </c>
      <c r="P26" s="51">
        <f t="shared" si="16"/>
        <v>25004264.75692841</v>
      </c>
      <c r="Q26" s="61">
        <v>0</v>
      </c>
      <c r="S26" s="105"/>
      <c r="T26" s="105"/>
    </row>
    <row r="27" spans="1:20" ht="15" customHeight="1" x14ac:dyDescent="0.2">
      <c r="A27" s="19" t="s">
        <v>99</v>
      </c>
      <c r="B27" s="26" t="s">
        <v>192</v>
      </c>
      <c r="C27" s="21" t="s">
        <v>76</v>
      </c>
      <c r="D27" s="128"/>
      <c r="E27" s="51">
        <f t="shared" si="13"/>
        <v>29755075</v>
      </c>
      <c r="F27" s="58">
        <v>0</v>
      </c>
      <c r="G27" s="94">
        <v>29755075</v>
      </c>
      <c r="H27" s="59">
        <v>0</v>
      </c>
      <c r="I27" s="60">
        <v>0</v>
      </c>
      <c r="J27" s="51">
        <f t="shared" si="14"/>
        <v>5250895.6596997734</v>
      </c>
      <c r="K27" s="51">
        <f t="shared" si="15"/>
        <v>4725806.0937297959</v>
      </c>
      <c r="L27" s="58">
        <v>0</v>
      </c>
      <c r="M27" s="59">
        <v>0</v>
      </c>
      <c r="N27" s="59">
        <v>4725806.0937297959</v>
      </c>
      <c r="O27" s="60">
        <v>525089.5659699773</v>
      </c>
      <c r="P27" s="51">
        <f t="shared" si="16"/>
        <v>35005970.659699775</v>
      </c>
      <c r="Q27" s="61">
        <v>0</v>
      </c>
      <c r="S27" s="105"/>
      <c r="T27" s="105"/>
    </row>
    <row r="28" spans="1:20" ht="15" customHeight="1" x14ac:dyDescent="0.2">
      <c r="A28" s="19" t="s">
        <v>100</v>
      </c>
      <c r="B28" s="26" t="s">
        <v>192</v>
      </c>
      <c r="C28" s="21" t="s">
        <v>77</v>
      </c>
      <c r="D28" s="128"/>
      <c r="E28" s="51">
        <f t="shared" si="13"/>
        <v>19402551</v>
      </c>
      <c r="F28" s="58">
        <v>0</v>
      </c>
      <c r="G28" s="94">
        <v>19402551</v>
      </c>
      <c r="H28" s="59">
        <v>0</v>
      </c>
      <c r="I28" s="60">
        <v>0</v>
      </c>
      <c r="J28" s="51">
        <f t="shared" si="14"/>
        <v>3423980</v>
      </c>
      <c r="K28" s="51">
        <f t="shared" si="15"/>
        <v>2282653</v>
      </c>
      <c r="L28" s="58">
        <v>0</v>
      </c>
      <c r="M28" s="59">
        <v>0</v>
      </c>
      <c r="N28" s="59">
        <v>2282653</v>
      </c>
      <c r="O28" s="60">
        <v>1141327</v>
      </c>
      <c r="P28" s="51">
        <f t="shared" si="16"/>
        <v>22826531</v>
      </c>
      <c r="Q28" s="61">
        <v>0</v>
      </c>
      <c r="S28" s="105"/>
      <c r="T28" s="105"/>
    </row>
    <row r="29" spans="1:20" ht="15" customHeight="1" x14ac:dyDescent="0.2">
      <c r="A29" s="19" t="s">
        <v>101</v>
      </c>
      <c r="B29" s="26" t="s">
        <v>200</v>
      </c>
      <c r="C29" s="21" t="s">
        <v>78</v>
      </c>
      <c r="D29" s="128"/>
      <c r="E29" s="51">
        <f t="shared" si="13"/>
        <v>7944100</v>
      </c>
      <c r="F29" s="58">
        <v>0</v>
      </c>
      <c r="G29" s="94">
        <f>7944100</f>
        <v>7944100</v>
      </c>
      <c r="H29" s="59">
        <v>0</v>
      </c>
      <c r="I29" s="60">
        <v>0</v>
      </c>
      <c r="J29" s="51">
        <f t="shared" si="14"/>
        <v>1401900.0190798002</v>
      </c>
      <c r="K29" s="51">
        <f t="shared" si="15"/>
        <v>1261710.0171718199</v>
      </c>
      <c r="L29" s="58">
        <v>600000</v>
      </c>
      <c r="M29" s="59">
        <v>0</v>
      </c>
      <c r="N29" s="59">
        <v>661710.01717181993</v>
      </c>
      <c r="O29" s="60">
        <v>140190.0019079803</v>
      </c>
      <c r="P29" s="51">
        <f t="shared" si="16"/>
        <v>9346000.0190798007</v>
      </c>
      <c r="Q29" s="61">
        <v>0</v>
      </c>
      <c r="S29" s="105"/>
      <c r="T29" s="105"/>
    </row>
    <row r="30" spans="1:20" ht="15" customHeight="1" x14ac:dyDescent="0.2">
      <c r="A30" s="19" t="s">
        <v>102</v>
      </c>
      <c r="B30" s="26" t="s">
        <v>200</v>
      </c>
      <c r="C30" s="21" t="s">
        <v>79</v>
      </c>
      <c r="D30" s="128"/>
      <c r="E30" s="51">
        <f t="shared" si="13"/>
        <v>4218901</v>
      </c>
      <c r="F30" s="58">
        <v>0</v>
      </c>
      <c r="G30" s="94">
        <f>4675175-456274</f>
        <v>4218901</v>
      </c>
      <c r="H30" s="59">
        <v>0</v>
      </c>
      <c r="I30" s="60">
        <v>0</v>
      </c>
      <c r="J30" s="51">
        <f t="shared" si="14"/>
        <v>744512</v>
      </c>
      <c r="K30" s="51">
        <f t="shared" si="15"/>
        <v>670061</v>
      </c>
      <c r="L30" s="58">
        <v>0</v>
      </c>
      <c r="M30" s="59">
        <v>0</v>
      </c>
      <c r="N30" s="59">
        <v>670061</v>
      </c>
      <c r="O30" s="60">
        <v>74451</v>
      </c>
      <c r="P30" s="51">
        <f t="shared" si="16"/>
        <v>4963413</v>
      </c>
      <c r="Q30" s="61">
        <v>0</v>
      </c>
      <c r="S30" s="105"/>
      <c r="T30" s="105"/>
    </row>
    <row r="31" spans="1:20" ht="15" customHeight="1" x14ac:dyDescent="0.2">
      <c r="A31" s="19" t="s">
        <v>103</v>
      </c>
      <c r="B31" s="26" t="s">
        <v>200</v>
      </c>
      <c r="C31" s="21" t="s">
        <v>80</v>
      </c>
      <c r="D31" s="128"/>
      <c r="E31" s="51">
        <f t="shared" si="13"/>
        <v>5000000</v>
      </c>
      <c r="F31" s="58">
        <v>0</v>
      </c>
      <c r="G31" s="94">
        <v>5000000</v>
      </c>
      <c r="H31" s="59">
        <v>0</v>
      </c>
      <c r="I31" s="60">
        <v>0</v>
      </c>
      <c r="J31" s="51">
        <f t="shared" si="14"/>
        <v>882352.95318525878</v>
      </c>
      <c r="K31" s="51">
        <f t="shared" si="15"/>
        <v>794117.65786673292</v>
      </c>
      <c r="L31" s="58">
        <v>0</v>
      </c>
      <c r="M31" s="59">
        <v>0</v>
      </c>
      <c r="N31" s="59">
        <v>794117.65786673292</v>
      </c>
      <c r="O31" s="60">
        <v>88235.295318525881</v>
      </c>
      <c r="P31" s="51">
        <f t="shared" si="16"/>
        <v>5882352.9531852584</v>
      </c>
      <c r="Q31" s="61">
        <v>0</v>
      </c>
      <c r="S31" s="105"/>
      <c r="T31" s="105"/>
    </row>
    <row r="32" spans="1:20" ht="15" customHeight="1" x14ac:dyDescent="0.2">
      <c r="A32" s="9" t="s">
        <v>36</v>
      </c>
      <c r="B32" s="28"/>
      <c r="C32" s="11" t="s">
        <v>54</v>
      </c>
      <c r="D32" s="128"/>
      <c r="E32" s="57">
        <f>SUM(E33:E35)</f>
        <v>145698518</v>
      </c>
      <c r="F32" s="53">
        <f t="shared" ref="F32:Q32" si="17">SUM(F33:F35)</f>
        <v>0</v>
      </c>
      <c r="G32" s="54">
        <f t="shared" si="17"/>
        <v>145698518</v>
      </c>
      <c r="H32" s="54">
        <f t="shared" si="17"/>
        <v>0</v>
      </c>
      <c r="I32" s="55">
        <f t="shared" si="17"/>
        <v>0</v>
      </c>
      <c r="J32" s="52">
        <f t="shared" si="17"/>
        <v>25711502.596050669</v>
      </c>
      <c r="K32" s="52">
        <f t="shared" si="17"/>
        <v>25711502.596050669</v>
      </c>
      <c r="L32" s="53">
        <f t="shared" si="17"/>
        <v>0</v>
      </c>
      <c r="M32" s="54">
        <f t="shared" si="17"/>
        <v>0</v>
      </c>
      <c r="N32" s="54">
        <f t="shared" si="17"/>
        <v>25711502.596050669</v>
      </c>
      <c r="O32" s="55">
        <f t="shared" si="17"/>
        <v>0</v>
      </c>
      <c r="P32" s="52">
        <f t="shared" si="17"/>
        <v>171410020.59605068</v>
      </c>
      <c r="Q32" s="56">
        <f t="shared" si="17"/>
        <v>0</v>
      </c>
      <c r="S32" s="105"/>
      <c r="T32" s="105"/>
    </row>
    <row r="33" spans="1:20" ht="15" customHeight="1" x14ac:dyDescent="0.2">
      <c r="A33" s="16" t="s">
        <v>49</v>
      </c>
      <c r="B33" s="17" t="s">
        <v>185</v>
      </c>
      <c r="C33" s="20" t="s">
        <v>46</v>
      </c>
      <c r="D33" s="128"/>
      <c r="E33" s="51">
        <f>F33+G33+H33+I33</f>
        <v>10091129</v>
      </c>
      <c r="F33" s="58">
        <v>0</v>
      </c>
      <c r="G33" s="94">
        <f>12004348-1913219</f>
        <v>10091129</v>
      </c>
      <c r="H33" s="59">
        <v>0</v>
      </c>
      <c r="I33" s="60">
        <v>0</v>
      </c>
      <c r="J33" s="51">
        <f>K33+O33</f>
        <v>1780787</v>
      </c>
      <c r="K33" s="51">
        <f>L33+M33+N33</f>
        <v>1780787</v>
      </c>
      <c r="L33" s="58">
        <v>0</v>
      </c>
      <c r="M33" s="59">
        <v>0</v>
      </c>
      <c r="N33" s="59">
        <v>1780787</v>
      </c>
      <c r="O33" s="60">
        <v>0</v>
      </c>
      <c r="P33" s="51">
        <f>E33+J33</f>
        <v>11871916</v>
      </c>
      <c r="Q33" s="61">
        <v>0</v>
      </c>
      <c r="S33" s="105"/>
      <c r="T33" s="105"/>
    </row>
    <row r="34" spans="1:20" ht="15" customHeight="1" x14ac:dyDescent="0.2">
      <c r="A34" s="16" t="s">
        <v>50</v>
      </c>
      <c r="B34" s="17" t="s">
        <v>185</v>
      </c>
      <c r="C34" s="20" t="s">
        <v>47</v>
      </c>
      <c r="D34" s="128"/>
      <c r="E34" s="51">
        <f t="shared" ref="E34:E35" si="18">F34+G34+H34+I34</f>
        <v>63308456</v>
      </c>
      <c r="F34" s="58">
        <v>0</v>
      </c>
      <c r="G34" s="94">
        <v>63308456</v>
      </c>
      <c r="H34" s="59">
        <v>0</v>
      </c>
      <c r="I34" s="60">
        <v>0</v>
      </c>
      <c r="J34" s="51">
        <f t="shared" ref="J34:J38" si="19">K34+O34</f>
        <v>11172080.596050669</v>
      </c>
      <c r="K34" s="51">
        <f t="shared" ref="K34:K38" si="20">L34+M34+N34</f>
        <v>11172080.596050669</v>
      </c>
      <c r="L34" s="58">
        <v>0</v>
      </c>
      <c r="M34" s="59">
        <v>0</v>
      </c>
      <c r="N34" s="59">
        <v>11172080.596050669</v>
      </c>
      <c r="O34" s="60">
        <v>0</v>
      </c>
      <c r="P34" s="51">
        <f t="shared" ref="P34:P38" si="21">E34+J34</f>
        <v>74480536.596050665</v>
      </c>
      <c r="Q34" s="61">
        <v>0</v>
      </c>
      <c r="S34" s="105"/>
      <c r="T34" s="105"/>
    </row>
    <row r="35" spans="1:20" ht="15" customHeight="1" x14ac:dyDescent="0.2">
      <c r="A35" s="16" t="s">
        <v>51</v>
      </c>
      <c r="B35" s="17" t="s">
        <v>185</v>
      </c>
      <c r="C35" s="20" t="s">
        <v>48</v>
      </c>
      <c r="D35" s="128"/>
      <c r="E35" s="51">
        <f t="shared" si="18"/>
        <v>72298933</v>
      </c>
      <c r="F35" s="58">
        <v>0</v>
      </c>
      <c r="G35" s="94">
        <f>73099223-800290</f>
        <v>72298933</v>
      </c>
      <c r="H35" s="59">
        <v>0</v>
      </c>
      <c r="I35" s="60">
        <v>0</v>
      </c>
      <c r="J35" s="51">
        <f t="shared" si="19"/>
        <v>12758635</v>
      </c>
      <c r="K35" s="51">
        <f t="shared" si="20"/>
        <v>12758635</v>
      </c>
      <c r="L35" s="58">
        <v>0</v>
      </c>
      <c r="M35" s="59">
        <v>0</v>
      </c>
      <c r="N35" s="59">
        <v>12758635</v>
      </c>
      <c r="O35" s="60">
        <v>0</v>
      </c>
      <c r="P35" s="51">
        <f t="shared" si="21"/>
        <v>85057568</v>
      </c>
      <c r="Q35" s="61">
        <v>0</v>
      </c>
      <c r="S35" s="105"/>
      <c r="T35" s="105"/>
    </row>
    <row r="36" spans="1:20" ht="15" customHeight="1" x14ac:dyDescent="0.2">
      <c r="A36" s="12" t="s">
        <v>37</v>
      </c>
      <c r="B36" s="27"/>
      <c r="C36" s="11" t="s">
        <v>55</v>
      </c>
      <c r="D36" s="128"/>
      <c r="E36" s="52">
        <f>SUM(E37:E38)</f>
        <v>250721768</v>
      </c>
      <c r="F36" s="53">
        <f t="shared" ref="F36:Q36" si="22">SUM(F37:F38)</f>
        <v>0</v>
      </c>
      <c r="G36" s="54">
        <f t="shared" si="22"/>
        <v>250721768</v>
      </c>
      <c r="H36" s="54">
        <f t="shared" si="22"/>
        <v>0</v>
      </c>
      <c r="I36" s="55">
        <f t="shared" si="22"/>
        <v>0</v>
      </c>
      <c r="J36" s="52">
        <f t="shared" si="22"/>
        <v>44245018.297284976</v>
      </c>
      <c r="K36" s="52">
        <f t="shared" si="22"/>
        <v>44245018.297284976</v>
      </c>
      <c r="L36" s="53">
        <f t="shared" si="22"/>
        <v>13551443</v>
      </c>
      <c r="M36" s="54">
        <f t="shared" si="22"/>
        <v>0</v>
      </c>
      <c r="N36" s="54">
        <f t="shared" si="22"/>
        <v>30693575.297284972</v>
      </c>
      <c r="O36" s="55">
        <f t="shared" si="22"/>
        <v>0</v>
      </c>
      <c r="P36" s="52">
        <f t="shared" si="22"/>
        <v>294966786.29728496</v>
      </c>
      <c r="Q36" s="56">
        <f t="shared" si="22"/>
        <v>0</v>
      </c>
      <c r="S36" s="105"/>
      <c r="T36" s="105"/>
    </row>
    <row r="37" spans="1:20" ht="15" customHeight="1" x14ac:dyDescent="0.2">
      <c r="A37" s="16" t="s">
        <v>52</v>
      </c>
      <c r="B37" s="17" t="s">
        <v>186</v>
      </c>
      <c r="C37" s="18" t="s">
        <v>44</v>
      </c>
      <c r="D37" s="128"/>
      <c r="E37" s="51">
        <f>F37+G37+H37+I37</f>
        <v>132110883</v>
      </c>
      <c r="F37" s="58">
        <v>0</v>
      </c>
      <c r="G37" s="59">
        <v>132110883</v>
      </c>
      <c r="H37" s="59">
        <v>0</v>
      </c>
      <c r="I37" s="60">
        <v>0</v>
      </c>
      <c r="J37" s="51">
        <f t="shared" si="19"/>
        <v>23313685.297284972</v>
      </c>
      <c r="K37" s="51">
        <f t="shared" si="20"/>
        <v>23313685.297284972</v>
      </c>
      <c r="L37" s="58">
        <v>0</v>
      </c>
      <c r="M37" s="59">
        <v>0</v>
      </c>
      <c r="N37" s="59">
        <v>23313685.297284972</v>
      </c>
      <c r="O37" s="60">
        <v>0</v>
      </c>
      <c r="P37" s="51">
        <f t="shared" si="21"/>
        <v>155424568.29728496</v>
      </c>
      <c r="Q37" s="61">
        <v>0</v>
      </c>
      <c r="S37" s="105"/>
      <c r="T37" s="105"/>
    </row>
    <row r="38" spans="1:20" ht="15" customHeight="1" x14ac:dyDescent="0.2">
      <c r="A38" s="16" t="s">
        <v>53</v>
      </c>
      <c r="B38" s="17" t="s">
        <v>186</v>
      </c>
      <c r="C38" s="18" t="s">
        <v>45</v>
      </c>
      <c r="D38" s="128"/>
      <c r="E38" s="51">
        <f>F38+G38+H38+I38</f>
        <v>118610885</v>
      </c>
      <c r="F38" s="58">
        <v>0</v>
      </c>
      <c r="G38" s="59">
        <v>118610885</v>
      </c>
      <c r="H38" s="59">
        <v>0</v>
      </c>
      <c r="I38" s="60">
        <v>0</v>
      </c>
      <c r="J38" s="51">
        <f t="shared" si="19"/>
        <v>20931333</v>
      </c>
      <c r="K38" s="51">
        <f t="shared" si="20"/>
        <v>20931333</v>
      </c>
      <c r="L38" s="58">
        <v>13551443</v>
      </c>
      <c r="M38" s="59">
        <v>0</v>
      </c>
      <c r="N38" s="59">
        <f>20931333-L38</f>
        <v>7379890</v>
      </c>
      <c r="O38" s="60">
        <v>0</v>
      </c>
      <c r="P38" s="51">
        <f t="shared" si="21"/>
        <v>139542218</v>
      </c>
      <c r="Q38" s="61">
        <v>0</v>
      </c>
      <c r="S38" s="105"/>
      <c r="T38" s="105"/>
    </row>
    <row r="39" spans="1:20" ht="15" customHeight="1" x14ac:dyDescent="0.2">
      <c r="A39" s="9" t="s">
        <v>38</v>
      </c>
      <c r="B39" s="29"/>
      <c r="C39" s="13" t="s">
        <v>125</v>
      </c>
      <c r="D39" s="128"/>
      <c r="E39" s="52">
        <f>E40+E41+E42+E43+E44+E45+E46+E47+E48+E49+E50+E51+E52+E53+E54+E55+E56+E57+E58+E59+E60</f>
        <v>477237153</v>
      </c>
      <c r="F39" s="53">
        <f t="shared" ref="F39:Q39" si="23">F40+F41+F42+F43+F44+F45+F46+F47+F48+F49+F50+F51+F52+F53+F54+F55+F56+F57+F58+F59+F60</f>
        <v>0</v>
      </c>
      <c r="G39" s="54">
        <f t="shared" si="23"/>
        <v>0</v>
      </c>
      <c r="H39" s="54">
        <f t="shared" si="23"/>
        <v>477237153</v>
      </c>
      <c r="I39" s="55">
        <f t="shared" si="23"/>
        <v>0</v>
      </c>
      <c r="J39" s="52">
        <f t="shared" si="23"/>
        <v>84218322</v>
      </c>
      <c r="K39" s="52">
        <f t="shared" si="23"/>
        <v>76018595</v>
      </c>
      <c r="L39" s="53">
        <f t="shared" si="23"/>
        <v>37280264</v>
      </c>
      <c r="M39" s="54">
        <f t="shared" si="23"/>
        <v>28470036</v>
      </c>
      <c r="N39" s="54">
        <f t="shared" si="23"/>
        <v>10268295</v>
      </c>
      <c r="O39" s="55">
        <f t="shared" si="23"/>
        <v>8199727</v>
      </c>
      <c r="P39" s="52">
        <f t="shared" si="23"/>
        <v>561455475</v>
      </c>
      <c r="Q39" s="56">
        <f t="shared" si="23"/>
        <v>0</v>
      </c>
      <c r="S39" s="105"/>
      <c r="T39" s="105"/>
    </row>
    <row r="40" spans="1:20" ht="15" customHeight="1" x14ac:dyDescent="0.2">
      <c r="A40" s="19" t="s">
        <v>104</v>
      </c>
      <c r="B40" s="24" t="s">
        <v>187</v>
      </c>
      <c r="C40" s="22" t="s">
        <v>126</v>
      </c>
      <c r="D40" s="128"/>
      <c r="E40" s="51">
        <f>F40+G40+H40+I40</f>
        <v>8000000</v>
      </c>
      <c r="F40" s="78">
        <v>0</v>
      </c>
      <c r="G40" s="79">
        <v>0</v>
      </c>
      <c r="H40" s="79">
        <v>8000000</v>
      </c>
      <c r="I40" s="80">
        <v>0</v>
      </c>
      <c r="J40" s="51">
        <f t="shared" ref="J40:J60" si="24">K40+O40</f>
        <v>1411765</v>
      </c>
      <c r="K40" s="51">
        <f t="shared" ref="K40:K60" si="25">L40+M40+N40</f>
        <v>1270588</v>
      </c>
      <c r="L40" s="78">
        <v>647059</v>
      </c>
      <c r="M40" s="79">
        <f>1270588-647059</f>
        <v>623529</v>
      </c>
      <c r="N40" s="79">
        <v>0</v>
      </c>
      <c r="O40" s="80">
        <v>141177</v>
      </c>
      <c r="P40" s="51">
        <f t="shared" ref="P40:P60" si="26">E40+J40</f>
        <v>9411765</v>
      </c>
      <c r="Q40" s="81">
        <v>0</v>
      </c>
      <c r="S40" s="105"/>
      <c r="T40" s="105"/>
    </row>
    <row r="41" spans="1:20" ht="15" customHeight="1" x14ac:dyDescent="0.2">
      <c r="A41" s="19" t="s">
        <v>105</v>
      </c>
      <c r="B41" s="24" t="s">
        <v>187</v>
      </c>
      <c r="C41" s="22" t="s">
        <v>127</v>
      </c>
      <c r="D41" s="128"/>
      <c r="E41" s="51">
        <f t="shared" ref="E41:E60" si="27">F41+G41+H41+I41</f>
        <v>60481438</v>
      </c>
      <c r="F41" s="78">
        <v>0</v>
      </c>
      <c r="G41" s="79">
        <v>0</v>
      </c>
      <c r="H41" s="79">
        <v>60481438</v>
      </c>
      <c r="I41" s="80">
        <v>0</v>
      </c>
      <c r="J41" s="51">
        <f t="shared" si="24"/>
        <v>10673194</v>
      </c>
      <c r="K41" s="51">
        <f t="shared" si="25"/>
        <v>9605875</v>
      </c>
      <c r="L41" s="78">
        <v>0</v>
      </c>
      <c r="M41" s="79">
        <v>0</v>
      </c>
      <c r="N41" s="79">
        <v>9605875</v>
      </c>
      <c r="O41" s="80">
        <v>1067319</v>
      </c>
      <c r="P41" s="51">
        <f t="shared" si="26"/>
        <v>71154632</v>
      </c>
      <c r="Q41" s="81">
        <v>0</v>
      </c>
      <c r="S41" s="105"/>
      <c r="T41" s="105"/>
    </row>
    <row r="42" spans="1:20" ht="15" customHeight="1" x14ac:dyDescent="0.2">
      <c r="A42" s="19" t="s">
        <v>106</v>
      </c>
      <c r="B42" s="24" t="s">
        <v>203</v>
      </c>
      <c r="C42" s="22" t="s">
        <v>128</v>
      </c>
      <c r="D42" s="128"/>
      <c r="E42" s="51">
        <f t="shared" si="27"/>
        <v>3027511</v>
      </c>
      <c r="F42" s="78">
        <v>0</v>
      </c>
      <c r="G42" s="79">
        <v>0</v>
      </c>
      <c r="H42" s="79">
        <v>3027511</v>
      </c>
      <c r="I42" s="80">
        <v>0</v>
      </c>
      <c r="J42" s="51">
        <f t="shared" si="24"/>
        <v>534267</v>
      </c>
      <c r="K42" s="51">
        <f t="shared" si="25"/>
        <v>480840</v>
      </c>
      <c r="L42" s="78">
        <v>0</v>
      </c>
      <c r="M42" s="79">
        <v>480840</v>
      </c>
      <c r="N42" s="79">
        <v>0</v>
      </c>
      <c r="O42" s="80">
        <v>53427</v>
      </c>
      <c r="P42" s="51">
        <f t="shared" si="26"/>
        <v>3561778</v>
      </c>
      <c r="Q42" s="81">
        <v>0</v>
      </c>
      <c r="S42" s="105"/>
      <c r="T42" s="105"/>
    </row>
    <row r="43" spans="1:20" ht="15" customHeight="1" x14ac:dyDescent="0.2">
      <c r="A43" s="19" t="s">
        <v>107</v>
      </c>
      <c r="B43" s="24" t="s">
        <v>204</v>
      </c>
      <c r="C43" s="22" t="s">
        <v>129</v>
      </c>
      <c r="D43" s="128"/>
      <c r="E43" s="51">
        <f t="shared" si="27"/>
        <v>11500000</v>
      </c>
      <c r="F43" s="78">
        <v>0</v>
      </c>
      <c r="G43" s="79">
        <v>0</v>
      </c>
      <c r="H43" s="79">
        <v>11500000</v>
      </c>
      <c r="I43" s="80">
        <v>0</v>
      </c>
      <c r="J43" s="51">
        <f t="shared" si="24"/>
        <v>2029412</v>
      </c>
      <c r="K43" s="51">
        <f t="shared" si="25"/>
        <v>1826471</v>
      </c>
      <c r="L43" s="78">
        <v>1352941</v>
      </c>
      <c r="M43" s="79">
        <f>1826471-1352941</f>
        <v>473530</v>
      </c>
      <c r="N43" s="79">
        <v>0</v>
      </c>
      <c r="O43" s="80">
        <v>202941</v>
      </c>
      <c r="P43" s="51">
        <f t="shared" si="26"/>
        <v>13529412</v>
      </c>
      <c r="Q43" s="81">
        <v>0</v>
      </c>
      <c r="S43" s="105"/>
      <c r="T43" s="105"/>
    </row>
    <row r="44" spans="1:20" ht="15" customHeight="1" x14ac:dyDescent="0.2">
      <c r="A44" s="19" t="s">
        <v>108</v>
      </c>
      <c r="B44" s="24" t="s">
        <v>205</v>
      </c>
      <c r="C44" s="22" t="s">
        <v>130</v>
      </c>
      <c r="D44" s="128"/>
      <c r="E44" s="51">
        <f t="shared" si="27"/>
        <v>13015738</v>
      </c>
      <c r="F44" s="78">
        <v>0</v>
      </c>
      <c r="G44" s="79">
        <v>0</v>
      </c>
      <c r="H44" s="79">
        <v>13015738</v>
      </c>
      <c r="I44" s="80">
        <v>0</v>
      </c>
      <c r="J44" s="51">
        <f t="shared" si="24"/>
        <v>2296894</v>
      </c>
      <c r="K44" s="51">
        <f t="shared" si="25"/>
        <v>2067205</v>
      </c>
      <c r="L44" s="78">
        <v>765632</v>
      </c>
      <c r="M44" s="79">
        <f>2067205-765632</f>
        <v>1301573</v>
      </c>
      <c r="N44" s="79">
        <v>0</v>
      </c>
      <c r="O44" s="80">
        <v>229689</v>
      </c>
      <c r="P44" s="51">
        <f t="shared" si="26"/>
        <v>15312632</v>
      </c>
      <c r="Q44" s="81">
        <v>0</v>
      </c>
      <c r="S44" s="105"/>
      <c r="T44" s="105"/>
    </row>
    <row r="45" spans="1:20" ht="15" customHeight="1" x14ac:dyDescent="0.2">
      <c r="A45" s="19" t="s">
        <v>109</v>
      </c>
      <c r="B45" s="24" t="s">
        <v>205</v>
      </c>
      <c r="C45" s="22" t="s">
        <v>131</v>
      </c>
      <c r="D45" s="128"/>
      <c r="E45" s="51">
        <f t="shared" si="27"/>
        <v>6649328</v>
      </c>
      <c r="F45" s="78">
        <v>0</v>
      </c>
      <c r="G45" s="79">
        <v>0</v>
      </c>
      <c r="H45" s="79">
        <v>6649328</v>
      </c>
      <c r="I45" s="80">
        <v>0</v>
      </c>
      <c r="J45" s="51">
        <f t="shared" si="24"/>
        <v>1173411</v>
      </c>
      <c r="K45" s="51">
        <f t="shared" si="25"/>
        <v>1056070</v>
      </c>
      <c r="L45" s="78">
        <v>0</v>
      </c>
      <c r="M45" s="79">
        <v>1056070</v>
      </c>
      <c r="N45" s="79">
        <v>0</v>
      </c>
      <c r="O45" s="80">
        <v>117341</v>
      </c>
      <c r="P45" s="51">
        <f t="shared" si="26"/>
        <v>7822739</v>
      </c>
      <c r="Q45" s="81">
        <v>0</v>
      </c>
      <c r="S45" s="105"/>
      <c r="T45" s="105"/>
    </row>
    <row r="46" spans="1:20" ht="15" customHeight="1" x14ac:dyDescent="0.2">
      <c r="A46" s="19" t="s">
        <v>110</v>
      </c>
      <c r="B46" s="24" t="s">
        <v>193</v>
      </c>
      <c r="C46" s="22" t="s">
        <v>132</v>
      </c>
      <c r="D46" s="128"/>
      <c r="E46" s="51">
        <f t="shared" si="27"/>
        <v>43664106</v>
      </c>
      <c r="F46" s="78">
        <v>0</v>
      </c>
      <c r="G46" s="79">
        <v>0</v>
      </c>
      <c r="H46" s="79">
        <v>43664106</v>
      </c>
      <c r="I46" s="80">
        <v>0</v>
      </c>
      <c r="J46" s="51">
        <f t="shared" si="24"/>
        <v>7705430</v>
      </c>
      <c r="K46" s="51">
        <f t="shared" si="25"/>
        <v>6934887</v>
      </c>
      <c r="L46" s="78">
        <v>2568477</v>
      </c>
      <c r="M46" s="106">
        <f>6934887-2568477</f>
        <v>4366410</v>
      </c>
      <c r="N46" s="106">
        <v>0</v>
      </c>
      <c r="O46" s="80">
        <v>770543</v>
      </c>
      <c r="P46" s="51">
        <f t="shared" si="26"/>
        <v>51369536</v>
      </c>
      <c r="Q46" s="81">
        <v>0</v>
      </c>
      <c r="S46" s="105"/>
      <c r="T46" s="105"/>
    </row>
    <row r="47" spans="1:20" ht="15" customHeight="1" x14ac:dyDescent="0.2">
      <c r="A47" s="19" t="s">
        <v>111</v>
      </c>
      <c r="B47" s="24" t="s">
        <v>193</v>
      </c>
      <c r="C47" s="22" t="s">
        <v>133</v>
      </c>
      <c r="D47" s="128"/>
      <c r="E47" s="51">
        <f t="shared" si="27"/>
        <v>112638641</v>
      </c>
      <c r="F47" s="78">
        <v>0</v>
      </c>
      <c r="G47" s="79">
        <v>0</v>
      </c>
      <c r="H47" s="79">
        <v>112638641</v>
      </c>
      <c r="I47" s="80">
        <v>0</v>
      </c>
      <c r="J47" s="51">
        <f t="shared" si="24"/>
        <v>19877408</v>
      </c>
      <c r="K47" s="51">
        <f t="shared" si="25"/>
        <v>17889667</v>
      </c>
      <c r="L47" s="78">
        <f>8440508+73383</f>
        <v>8513891</v>
      </c>
      <c r="M47" s="106">
        <f>17889667-8440508-73383</f>
        <v>9375776</v>
      </c>
      <c r="N47" s="106">
        <v>0</v>
      </c>
      <c r="O47" s="80">
        <v>1987741</v>
      </c>
      <c r="P47" s="51">
        <f t="shared" si="26"/>
        <v>132516049</v>
      </c>
      <c r="Q47" s="81">
        <v>0</v>
      </c>
      <c r="S47" s="105"/>
      <c r="T47" s="105"/>
    </row>
    <row r="48" spans="1:20" ht="15" customHeight="1" x14ac:dyDescent="0.2">
      <c r="A48" s="19" t="s">
        <v>112</v>
      </c>
      <c r="B48" s="24" t="s">
        <v>206</v>
      </c>
      <c r="C48" s="22" t="s">
        <v>134</v>
      </c>
      <c r="D48" s="128"/>
      <c r="E48" s="51">
        <f t="shared" si="27"/>
        <v>44757916</v>
      </c>
      <c r="F48" s="78">
        <v>0</v>
      </c>
      <c r="G48" s="79">
        <v>0</v>
      </c>
      <c r="H48" s="106">
        <f>44757916</f>
        <v>44757916</v>
      </c>
      <c r="I48" s="80">
        <v>0</v>
      </c>
      <c r="J48" s="51">
        <f t="shared" si="24"/>
        <v>7898456</v>
      </c>
      <c r="K48" s="51">
        <f t="shared" si="25"/>
        <v>7108610</v>
      </c>
      <c r="L48" s="78">
        <v>4795049</v>
      </c>
      <c r="M48" s="106">
        <f>7108610-4795049</f>
        <v>2313561</v>
      </c>
      <c r="N48" s="106">
        <v>0</v>
      </c>
      <c r="O48" s="80">
        <v>789846</v>
      </c>
      <c r="P48" s="51">
        <f t="shared" si="26"/>
        <v>52656372</v>
      </c>
      <c r="Q48" s="81">
        <v>0</v>
      </c>
      <c r="S48" s="105"/>
      <c r="T48" s="105"/>
    </row>
    <row r="49" spans="1:20" ht="15" customHeight="1" x14ac:dyDescent="0.2">
      <c r="A49" s="19" t="s">
        <v>113</v>
      </c>
      <c r="B49" s="24" t="s">
        <v>206</v>
      </c>
      <c r="C49" s="22" t="s">
        <v>135</v>
      </c>
      <c r="D49" s="128"/>
      <c r="E49" s="51">
        <f t="shared" si="27"/>
        <v>12585972</v>
      </c>
      <c r="F49" s="78">
        <v>0</v>
      </c>
      <c r="G49" s="79">
        <v>0</v>
      </c>
      <c r="H49" s="106">
        <f>12585972</f>
        <v>12585972</v>
      </c>
      <c r="I49" s="80">
        <v>0</v>
      </c>
      <c r="J49" s="51">
        <f t="shared" si="24"/>
        <v>662420</v>
      </c>
      <c r="K49" s="51">
        <f t="shared" si="25"/>
        <v>662420</v>
      </c>
      <c r="L49" s="78">
        <v>0</v>
      </c>
      <c r="M49" s="106">
        <v>0</v>
      </c>
      <c r="N49" s="106">
        <f>2221054-1558634</f>
        <v>662420</v>
      </c>
      <c r="O49" s="80">
        <v>0</v>
      </c>
      <c r="P49" s="51">
        <f t="shared" si="26"/>
        <v>13248392</v>
      </c>
      <c r="Q49" s="81">
        <v>0</v>
      </c>
      <c r="S49" s="105"/>
      <c r="T49" s="105"/>
    </row>
    <row r="50" spans="1:20" ht="15" customHeight="1" x14ac:dyDescent="0.2">
      <c r="A50" s="19" t="s">
        <v>114</v>
      </c>
      <c r="B50" s="24" t="s">
        <v>194</v>
      </c>
      <c r="C50" s="22" t="s">
        <v>136</v>
      </c>
      <c r="D50" s="128"/>
      <c r="E50" s="51">
        <f t="shared" si="27"/>
        <v>20581573</v>
      </c>
      <c r="F50" s="78">
        <v>0</v>
      </c>
      <c r="G50" s="79">
        <v>0</v>
      </c>
      <c r="H50" s="79">
        <v>20581573</v>
      </c>
      <c r="I50" s="80">
        <v>0</v>
      </c>
      <c r="J50" s="51">
        <f t="shared" si="24"/>
        <v>3632042</v>
      </c>
      <c r="K50" s="51">
        <f t="shared" si="25"/>
        <v>3268838</v>
      </c>
      <c r="L50" s="78">
        <v>2421362</v>
      </c>
      <c r="M50" s="106">
        <f>3268838-2421362</f>
        <v>847476</v>
      </c>
      <c r="N50" s="106">
        <v>0</v>
      </c>
      <c r="O50" s="80">
        <v>363204</v>
      </c>
      <c r="P50" s="51">
        <f t="shared" si="26"/>
        <v>24213615</v>
      </c>
      <c r="Q50" s="81">
        <v>0</v>
      </c>
    </row>
    <row r="51" spans="1:20" ht="15" customHeight="1" x14ac:dyDescent="0.2">
      <c r="A51" s="19" t="s">
        <v>115</v>
      </c>
      <c r="B51" s="24" t="s">
        <v>194</v>
      </c>
      <c r="C51" s="22" t="s">
        <v>137</v>
      </c>
      <c r="D51" s="128"/>
      <c r="E51" s="51">
        <f t="shared" si="27"/>
        <v>3000000</v>
      </c>
      <c r="F51" s="78">
        <v>0</v>
      </c>
      <c r="G51" s="79">
        <v>0</v>
      </c>
      <c r="H51" s="79">
        <v>3000000</v>
      </c>
      <c r="I51" s="80">
        <v>0</v>
      </c>
      <c r="J51" s="51">
        <f t="shared" si="24"/>
        <v>529412</v>
      </c>
      <c r="K51" s="51">
        <f t="shared" si="25"/>
        <v>476471</v>
      </c>
      <c r="L51" s="78">
        <v>352941</v>
      </c>
      <c r="M51" s="106">
        <f>476471-352941</f>
        <v>123530</v>
      </c>
      <c r="N51" s="106">
        <v>0</v>
      </c>
      <c r="O51" s="80">
        <v>52941</v>
      </c>
      <c r="P51" s="51">
        <f t="shared" si="26"/>
        <v>3529412</v>
      </c>
      <c r="Q51" s="81">
        <v>0</v>
      </c>
    </row>
    <row r="52" spans="1:20" ht="15" customHeight="1" x14ac:dyDescent="0.2">
      <c r="A52" s="19" t="s">
        <v>116</v>
      </c>
      <c r="B52" s="24" t="s">
        <v>194</v>
      </c>
      <c r="C52" s="22" t="s">
        <v>138</v>
      </c>
      <c r="D52" s="128"/>
      <c r="E52" s="51">
        <f t="shared" si="27"/>
        <v>11666027</v>
      </c>
      <c r="F52" s="78">
        <v>0</v>
      </c>
      <c r="G52" s="79">
        <v>0</v>
      </c>
      <c r="H52" s="79">
        <v>11666027</v>
      </c>
      <c r="I52" s="80">
        <v>0</v>
      </c>
      <c r="J52" s="51">
        <f t="shared" si="24"/>
        <v>2058711</v>
      </c>
      <c r="K52" s="51">
        <f t="shared" si="25"/>
        <v>1852840</v>
      </c>
      <c r="L52" s="78">
        <v>1784216</v>
      </c>
      <c r="M52" s="106">
        <f>1852840-1784216</f>
        <v>68624</v>
      </c>
      <c r="N52" s="106">
        <v>0</v>
      </c>
      <c r="O52" s="80">
        <v>205871</v>
      </c>
      <c r="P52" s="51">
        <f t="shared" si="26"/>
        <v>13724738</v>
      </c>
      <c r="Q52" s="81">
        <v>0</v>
      </c>
    </row>
    <row r="53" spans="1:20" ht="15" customHeight="1" x14ac:dyDescent="0.2">
      <c r="A53" s="19" t="s">
        <v>117</v>
      </c>
      <c r="B53" s="24" t="s">
        <v>207</v>
      </c>
      <c r="C53" s="22" t="s">
        <v>139</v>
      </c>
      <c r="D53" s="128"/>
      <c r="E53" s="51">
        <f t="shared" si="27"/>
        <v>6994114</v>
      </c>
      <c r="F53" s="78">
        <v>0</v>
      </c>
      <c r="G53" s="79">
        <v>0</v>
      </c>
      <c r="H53" s="79">
        <v>6994114</v>
      </c>
      <c r="I53" s="80">
        <v>0</v>
      </c>
      <c r="J53" s="51">
        <f t="shared" si="24"/>
        <v>1234255</v>
      </c>
      <c r="K53" s="51">
        <f t="shared" si="25"/>
        <v>1110830</v>
      </c>
      <c r="L53" s="78">
        <v>822837</v>
      </c>
      <c r="M53" s="106">
        <f>1110830-822837</f>
        <v>287993</v>
      </c>
      <c r="N53" s="106">
        <v>0</v>
      </c>
      <c r="O53" s="80">
        <v>123425</v>
      </c>
      <c r="P53" s="51">
        <f t="shared" si="26"/>
        <v>8228369</v>
      </c>
      <c r="Q53" s="81">
        <v>0</v>
      </c>
    </row>
    <row r="54" spans="1:20" ht="15" customHeight="1" x14ac:dyDescent="0.2">
      <c r="A54" s="19" t="s">
        <v>118</v>
      </c>
      <c r="B54" s="24" t="s">
        <v>207</v>
      </c>
      <c r="C54" s="22" t="s">
        <v>140</v>
      </c>
      <c r="D54" s="128"/>
      <c r="E54" s="51">
        <f t="shared" si="27"/>
        <v>5006056</v>
      </c>
      <c r="F54" s="78">
        <v>0</v>
      </c>
      <c r="G54" s="79">
        <v>0</v>
      </c>
      <c r="H54" s="79">
        <v>5006056</v>
      </c>
      <c r="I54" s="80">
        <v>0</v>
      </c>
      <c r="J54" s="51">
        <f t="shared" si="24"/>
        <v>883422</v>
      </c>
      <c r="K54" s="51">
        <f t="shared" si="25"/>
        <v>795080</v>
      </c>
      <c r="L54" s="78">
        <v>588948</v>
      </c>
      <c r="M54" s="106">
        <f>795080-588948</f>
        <v>206132</v>
      </c>
      <c r="N54" s="106">
        <v>0</v>
      </c>
      <c r="O54" s="80">
        <v>88342</v>
      </c>
      <c r="P54" s="51">
        <f t="shared" si="26"/>
        <v>5889478</v>
      </c>
      <c r="Q54" s="81">
        <v>0</v>
      </c>
    </row>
    <row r="55" spans="1:20" ht="15" customHeight="1" x14ac:dyDescent="0.2">
      <c r="A55" s="19" t="s">
        <v>119</v>
      </c>
      <c r="B55" s="24" t="s">
        <v>207</v>
      </c>
      <c r="C55" s="22" t="s">
        <v>141</v>
      </c>
      <c r="D55" s="128"/>
      <c r="E55" s="51">
        <f t="shared" si="27"/>
        <v>6118512</v>
      </c>
      <c r="F55" s="78">
        <v>0</v>
      </c>
      <c r="G55" s="79">
        <v>0</v>
      </c>
      <c r="H55" s="79">
        <v>6118512</v>
      </c>
      <c r="I55" s="80">
        <v>0</v>
      </c>
      <c r="J55" s="51">
        <f t="shared" si="24"/>
        <v>1079738</v>
      </c>
      <c r="K55" s="51">
        <f t="shared" si="25"/>
        <v>971764</v>
      </c>
      <c r="L55" s="78">
        <v>719825</v>
      </c>
      <c r="M55" s="106">
        <f>971764-719825</f>
        <v>251939</v>
      </c>
      <c r="N55" s="106">
        <v>0</v>
      </c>
      <c r="O55" s="80">
        <v>107974</v>
      </c>
      <c r="P55" s="51">
        <f t="shared" si="26"/>
        <v>7198250</v>
      </c>
      <c r="Q55" s="81">
        <v>0</v>
      </c>
    </row>
    <row r="56" spans="1:20" ht="15" customHeight="1" x14ac:dyDescent="0.2">
      <c r="A56" s="19" t="s">
        <v>120</v>
      </c>
      <c r="B56" s="24" t="s">
        <v>208</v>
      </c>
      <c r="C56" s="22" t="s">
        <v>142</v>
      </c>
      <c r="D56" s="128"/>
      <c r="E56" s="51">
        <f t="shared" si="27"/>
        <v>62050221</v>
      </c>
      <c r="F56" s="78">
        <v>0</v>
      </c>
      <c r="G56" s="79">
        <v>0</v>
      </c>
      <c r="H56" s="79">
        <v>62050221</v>
      </c>
      <c r="I56" s="80">
        <v>0</v>
      </c>
      <c r="J56" s="51">
        <f t="shared" si="24"/>
        <v>10950039</v>
      </c>
      <c r="K56" s="51">
        <f t="shared" si="25"/>
        <v>9855035</v>
      </c>
      <c r="L56" s="78">
        <v>6594144</v>
      </c>
      <c r="M56" s="106">
        <f>9855035-6594144</f>
        <v>3260891</v>
      </c>
      <c r="N56" s="106">
        <v>0</v>
      </c>
      <c r="O56" s="80">
        <v>1095004</v>
      </c>
      <c r="P56" s="51">
        <f t="shared" si="26"/>
        <v>73000260</v>
      </c>
      <c r="Q56" s="81">
        <v>0</v>
      </c>
    </row>
    <row r="57" spans="1:20" ht="15" customHeight="1" x14ac:dyDescent="0.2">
      <c r="A57" s="19" t="s">
        <v>121</v>
      </c>
      <c r="B57" s="24" t="s">
        <v>208</v>
      </c>
      <c r="C57" s="22" t="s">
        <v>143</v>
      </c>
      <c r="D57" s="128"/>
      <c r="E57" s="51">
        <f t="shared" si="27"/>
        <v>12000000</v>
      </c>
      <c r="F57" s="78">
        <v>0</v>
      </c>
      <c r="G57" s="79">
        <v>0</v>
      </c>
      <c r="H57" s="79">
        <v>12000000</v>
      </c>
      <c r="I57" s="80">
        <v>0</v>
      </c>
      <c r="J57" s="51">
        <f t="shared" si="24"/>
        <v>2117647</v>
      </c>
      <c r="K57" s="51">
        <f t="shared" si="25"/>
        <v>1905882</v>
      </c>
      <c r="L57" s="78">
        <v>1411765</v>
      </c>
      <c r="M57" s="106">
        <f>1905882-1411765</f>
        <v>494117</v>
      </c>
      <c r="N57" s="106">
        <v>0</v>
      </c>
      <c r="O57" s="80">
        <v>211765</v>
      </c>
      <c r="P57" s="51">
        <f t="shared" si="26"/>
        <v>14117647</v>
      </c>
      <c r="Q57" s="81">
        <v>0</v>
      </c>
    </row>
    <row r="58" spans="1:20" ht="15" customHeight="1" x14ac:dyDescent="0.2">
      <c r="A58" s="19" t="s">
        <v>122</v>
      </c>
      <c r="B58" s="24" t="s">
        <v>208</v>
      </c>
      <c r="C58" s="22" t="s">
        <v>144</v>
      </c>
      <c r="D58" s="128"/>
      <c r="E58" s="51">
        <f t="shared" si="27"/>
        <v>15000000</v>
      </c>
      <c r="F58" s="78">
        <v>0</v>
      </c>
      <c r="G58" s="79">
        <v>0</v>
      </c>
      <c r="H58" s="79">
        <v>15000000</v>
      </c>
      <c r="I58" s="80">
        <v>0</v>
      </c>
      <c r="J58" s="51">
        <f t="shared" si="24"/>
        <v>2647059</v>
      </c>
      <c r="K58" s="51">
        <f t="shared" si="25"/>
        <v>2382353</v>
      </c>
      <c r="L58" s="78">
        <v>1764706</v>
      </c>
      <c r="M58" s="106">
        <f>2382353-1764706</f>
        <v>617647</v>
      </c>
      <c r="N58" s="106">
        <v>0</v>
      </c>
      <c r="O58" s="80">
        <v>264706</v>
      </c>
      <c r="P58" s="51">
        <f t="shared" si="26"/>
        <v>17647059</v>
      </c>
      <c r="Q58" s="81">
        <v>0</v>
      </c>
    </row>
    <row r="59" spans="1:20" ht="15" customHeight="1" x14ac:dyDescent="0.2">
      <c r="A59" s="19" t="s">
        <v>123</v>
      </c>
      <c r="B59" s="24" t="s">
        <v>208</v>
      </c>
      <c r="C59" s="22" t="s">
        <v>145</v>
      </c>
      <c r="D59" s="128"/>
      <c r="E59" s="51">
        <f t="shared" si="27"/>
        <v>10000000</v>
      </c>
      <c r="F59" s="78">
        <v>0</v>
      </c>
      <c r="G59" s="79">
        <v>0</v>
      </c>
      <c r="H59" s="79">
        <v>10000000</v>
      </c>
      <c r="I59" s="80">
        <v>0</v>
      </c>
      <c r="J59" s="51">
        <f t="shared" si="24"/>
        <v>1764706</v>
      </c>
      <c r="K59" s="51">
        <f t="shared" si="25"/>
        <v>1588235</v>
      </c>
      <c r="L59" s="78">
        <v>1176471</v>
      </c>
      <c r="M59" s="106">
        <f>1588235-1176471</f>
        <v>411764</v>
      </c>
      <c r="N59" s="106">
        <v>0</v>
      </c>
      <c r="O59" s="80">
        <v>176471</v>
      </c>
      <c r="P59" s="51">
        <f t="shared" si="26"/>
        <v>11764706</v>
      </c>
      <c r="Q59" s="81">
        <v>0</v>
      </c>
    </row>
    <row r="60" spans="1:20" ht="15" customHeight="1" x14ac:dyDescent="0.2">
      <c r="A60" s="19" t="s">
        <v>124</v>
      </c>
      <c r="B60" s="24" t="s">
        <v>209</v>
      </c>
      <c r="C60" s="22" t="s">
        <v>146</v>
      </c>
      <c r="D60" s="128"/>
      <c r="E60" s="51">
        <f t="shared" si="27"/>
        <v>8500000</v>
      </c>
      <c r="F60" s="78">
        <v>0</v>
      </c>
      <c r="G60" s="79">
        <v>0</v>
      </c>
      <c r="H60" s="79">
        <v>8500000</v>
      </c>
      <c r="I60" s="80">
        <v>0</v>
      </c>
      <c r="J60" s="51">
        <f t="shared" si="24"/>
        <v>3058634</v>
      </c>
      <c r="K60" s="51">
        <f t="shared" si="25"/>
        <v>2908634</v>
      </c>
      <c r="L60" s="78">
        <v>1000000</v>
      </c>
      <c r="M60" s="106">
        <f>1350000-1000000+1558634</f>
        <v>1908634</v>
      </c>
      <c r="N60" s="106">
        <v>0</v>
      </c>
      <c r="O60" s="80">
        <v>150000</v>
      </c>
      <c r="P60" s="51">
        <f t="shared" si="26"/>
        <v>11558634</v>
      </c>
      <c r="Q60" s="81">
        <v>0</v>
      </c>
    </row>
    <row r="61" spans="1:20" ht="15" customHeight="1" x14ac:dyDescent="0.2">
      <c r="A61" s="9" t="s">
        <v>39</v>
      </c>
      <c r="B61" s="27"/>
      <c r="C61" s="10" t="s">
        <v>147</v>
      </c>
      <c r="D61" s="128"/>
      <c r="E61" s="52">
        <f t="shared" ref="E61:O61" si="28">SUM(E62:E73)</f>
        <v>233534619</v>
      </c>
      <c r="F61" s="103">
        <f t="shared" si="28"/>
        <v>0</v>
      </c>
      <c r="G61" s="54">
        <f t="shared" si="28"/>
        <v>233534619</v>
      </c>
      <c r="H61" s="54">
        <f t="shared" si="28"/>
        <v>0</v>
      </c>
      <c r="I61" s="56">
        <f t="shared" si="28"/>
        <v>0</v>
      </c>
      <c r="J61" s="52">
        <f t="shared" si="28"/>
        <v>41211991.847536951</v>
      </c>
      <c r="K61" s="52">
        <f t="shared" si="28"/>
        <v>39151392.632999651</v>
      </c>
      <c r="L61" s="103">
        <f t="shared" si="28"/>
        <v>9450000</v>
      </c>
      <c r="M61" s="54">
        <f t="shared" si="28"/>
        <v>0</v>
      </c>
      <c r="N61" s="54">
        <f t="shared" si="28"/>
        <v>29701392.632999655</v>
      </c>
      <c r="O61" s="56">
        <f t="shared" si="28"/>
        <v>2060599.2145372871</v>
      </c>
      <c r="P61" s="52">
        <f>SUM(P62:P73)</f>
        <v>274746610.84753698</v>
      </c>
      <c r="Q61" s="52">
        <f>SUM(Q62:Q73)</f>
        <v>0</v>
      </c>
    </row>
    <row r="62" spans="1:20" ht="15" customHeight="1" x14ac:dyDescent="0.2">
      <c r="A62" s="19" t="s">
        <v>160</v>
      </c>
      <c r="B62" s="23" t="s">
        <v>195</v>
      </c>
      <c r="C62" s="20" t="s">
        <v>148</v>
      </c>
      <c r="D62" s="128"/>
      <c r="E62" s="51">
        <f t="shared" ref="E62:E73" si="29">F62+G62+H62+I62</f>
        <v>9614028</v>
      </c>
      <c r="F62" s="58">
        <v>0</v>
      </c>
      <c r="G62" s="59">
        <v>9614028</v>
      </c>
      <c r="H62" s="59">
        <v>0</v>
      </c>
      <c r="I62" s="60">
        <v>0</v>
      </c>
      <c r="J62" s="51">
        <f t="shared" ref="J62:J73" si="30">K62+O62</f>
        <v>1696593.1764705882</v>
      </c>
      <c r="K62" s="51">
        <f t="shared" ref="K62:K73" si="31">L62+M62+N62</f>
        <v>1611763.5176470587</v>
      </c>
      <c r="L62" s="58">
        <v>0</v>
      </c>
      <c r="M62" s="59">
        <v>0</v>
      </c>
      <c r="N62" s="59">
        <v>1611763.5176470587</v>
      </c>
      <c r="O62" s="60">
        <v>84829.658823529418</v>
      </c>
      <c r="P62" s="51">
        <f t="shared" ref="P62:P73" si="32">E62+J62</f>
        <v>11310621.176470589</v>
      </c>
      <c r="Q62" s="61">
        <v>0</v>
      </c>
    </row>
    <row r="63" spans="1:20" ht="15" customHeight="1" x14ac:dyDescent="0.2">
      <c r="A63" s="19" t="s">
        <v>161</v>
      </c>
      <c r="B63" s="23" t="s">
        <v>195</v>
      </c>
      <c r="C63" s="20" t="s">
        <v>149</v>
      </c>
      <c r="D63" s="128"/>
      <c r="E63" s="51">
        <f t="shared" si="29"/>
        <v>29632407</v>
      </c>
      <c r="F63" s="58">
        <v>0</v>
      </c>
      <c r="G63" s="59">
        <v>29632407</v>
      </c>
      <c r="H63" s="59">
        <v>0</v>
      </c>
      <c r="I63" s="60">
        <v>0</v>
      </c>
      <c r="J63" s="51">
        <f t="shared" si="30"/>
        <v>5229248.3463650579</v>
      </c>
      <c r="K63" s="51">
        <f t="shared" si="31"/>
        <v>4967786.0051787477</v>
      </c>
      <c r="L63" s="58">
        <v>0</v>
      </c>
      <c r="M63" s="59">
        <v>0</v>
      </c>
      <c r="N63" s="59">
        <v>4967786.0051787477</v>
      </c>
      <c r="O63" s="60">
        <v>261462.34118631034</v>
      </c>
      <c r="P63" s="51">
        <f t="shared" si="32"/>
        <v>34861655.346365057</v>
      </c>
      <c r="Q63" s="61">
        <v>0</v>
      </c>
    </row>
    <row r="64" spans="1:20" ht="15" customHeight="1" x14ac:dyDescent="0.2">
      <c r="A64" s="19" t="s">
        <v>162</v>
      </c>
      <c r="B64" s="23" t="s">
        <v>210</v>
      </c>
      <c r="C64" s="20" t="s">
        <v>150</v>
      </c>
      <c r="D64" s="128"/>
      <c r="E64" s="51">
        <f t="shared" si="29"/>
        <v>16000000</v>
      </c>
      <c r="F64" s="58">
        <v>0</v>
      </c>
      <c r="G64" s="59">
        <v>16000000</v>
      </c>
      <c r="H64" s="59">
        <v>0</v>
      </c>
      <c r="I64" s="60">
        <v>0</v>
      </c>
      <c r="J64" s="51">
        <f t="shared" si="30"/>
        <v>2823529.4399756677</v>
      </c>
      <c r="K64" s="51">
        <f t="shared" si="31"/>
        <v>2682353.0090842801</v>
      </c>
      <c r="L64" s="58">
        <v>1882353</v>
      </c>
      <c r="M64" s="59">
        <v>0</v>
      </c>
      <c r="N64" s="59">
        <f>2682353.00908428-L64</f>
        <v>800000.00908428011</v>
      </c>
      <c r="O64" s="60">
        <v>141176.43089138746</v>
      </c>
      <c r="P64" s="51">
        <f t="shared" si="32"/>
        <v>18823529.439975668</v>
      </c>
      <c r="Q64" s="61">
        <v>0</v>
      </c>
    </row>
    <row r="65" spans="1:17" ht="15" customHeight="1" x14ac:dyDescent="0.2">
      <c r="A65" s="19" t="s">
        <v>163</v>
      </c>
      <c r="B65" s="23" t="s">
        <v>210</v>
      </c>
      <c r="C65" s="20" t="s">
        <v>151</v>
      </c>
      <c r="D65" s="128"/>
      <c r="E65" s="51">
        <f t="shared" si="29"/>
        <v>24000000</v>
      </c>
      <c r="F65" s="58">
        <v>0</v>
      </c>
      <c r="G65" s="59">
        <v>24000000</v>
      </c>
      <c r="H65" s="59">
        <v>0</v>
      </c>
      <c r="I65" s="60">
        <v>0</v>
      </c>
      <c r="J65" s="51">
        <f t="shared" si="30"/>
        <v>4235294.1599634914</v>
      </c>
      <c r="K65" s="51">
        <f t="shared" si="31"/>
        <v>4023529.5136264102</v>
      </c>
      <c r="L65" s="58">
        <v>2823529</v>
      </c>
      <c r="M65" s="59">
        <v>0</v>
      </c>
      <c r="N65" s="59">
        <f>4023529.51362641-L65</f>
        <v>1200000.5136264102</v>
      </c>
      <c r="O65" s="60">
        <v>211764.64633708118</v>
      </c>
      <c r="P65" s="51">
        <f t="shared" si="32"/>
        <v>28235294.159963492</v>
      </c>
      <c r="Q65" s="61">
        <v>0</v>
      </c>
    </row>
    <row r="66" spans="1:17" ht="15" customHeight="1" x14ac:dyDescent="0.2">
      <c r="A66" s="19" t="s">
        <v>164</v>
      </c>
      <c r="B66" s="23" t="s">
        <v>210</v>
      </c>
      <c r="C66" s="20" t="s">
        <v>152</v>
      </c>
      <c r="D66" s="128"/>
      <c r="E66" s="51">
        <f t="shared" si="29"/>
        <v>10000000</v>
      </c>
      <c r="F66" s="58">
        <v>0</v>
      </c>
      <c r="G66" s="59">
        <v>10000000</v>
      </c>
      <c r="H66" s="59">
        <v>0</v>
      </c>
      <c r="I66" s="60">
        <v>0</v>
      </c>
      <c r="J66" s="51">
        <f t="shared" si="30"/>
        <v>1764705.8999847872</v>
      </c>
      <c r="K66" s="51">
        <f t="shared" si="31"/>
        <v>1676470.63067767</v>
      </c>
      <c r="L66" s="58">
        <v>1176471</v>
      </c>
      <c r="M66" s="59">
        <v>0</v>
      </c>
      <c r="N66" s="59">
        <f>1676470.63067767-L66</f>
        <v>499999.63067767001</v>
      </c>
      <c r="O66" s="60">
        <v>88235.269307117152</v>
      </c>
      <c r="P66" s="51">
        <f t="shared" si="32"/>
        <v>11764705.899984788</v>
      </c>
      <c r="Q66" s="61">
        <v>0</v>
      </c>
    </row>
    <row r="67" spans="1:17" ht="15" customHeight="1" x14ac:dyDescent="0.2">
      <c r="A67" s="19" t="s">
        <v>165</v>
      </c>
      <c r="B67" s="23" t="s">
        <v>210</v>
      </c>
      <c r="C67" s="20" t="s">
        <v>153</v>
      </c>
      <c r="D67" s="128"/>
      <c r="E67" s="51">
        <f t="shared" si="29"/>
        <v>5000000</v>
      </c>
      <c r="F67" s="58">
        <v>0</v>
      </c>
      <c r="G67" s="59">
        <v>5000000</v>
      </c>
      <c r="H67" s="59">
        <v>0</v>
      </c>
      <c r="I67" s="60">
        <v>0</v>
      </c>
      <c r="J67" s="51">
        <f t="shared" si="30"/>
        <v>882352.94999239466</v>
      </c>
      <c r="K67" s="51">
        <f t="shared" si="31"/>
        <v>838235.31533883605</v>
      </c>
      <c r="L67" s="58">
        <v>588235</v>
      </c>
      <c r="M67" s="59">
        <v>0</v>
      </c>
      <c r="N67" s="59">
        <f>838235.315338836-L67</f>
        <v>250000.31533883605</v>
      </c>
      <c r="O67" s="60">
        <v>44117.634653558576</v>
      </c>
      <c r="P67" s="51">
        <f t="shared" si="32"/>
        <v>5882352.949992395</v>
      </c>
      <c r="Q67" s="61">
        <v>0</v>
      </c>
    </row>
    <row r="68" spans="1:17" ht="15" customHeight="1" x14ac:dyDescent="0.2">
      <c r="A68" s="19" t="s">
        <v>166</v>
      </c>
      <c r="B68" s="23" t="s">
        <v>196</v>
      </c>
      <c r="C68" s="20" t="s">
        <v>154</v>
      </c>
      <c r="D68" s="128"/>
      <c r="E68" s="51">
        <f t="shared" si="29"/>
        <v>29660944</v>
      </c>
      <c r="F68" s="58">
        <v>0</v>
      </c>
      <c r="G68" s="59">
        <v>29660944</v>
      </c>
      <c r="H68" s="59">
        <v>0</v>
      </c>
      <c r="I68" s="60">
        <v>0</v>
      </c>
      <c r="J68" s="51">
        <f t="shared" si="30"/>
        <v>5234284.2875918448</v>
      </c>
      <c r="K68" s="51">
        <f t="shared" si="31"/>
        <v>4972570.1494175131</v>
      </c>
      <c r="L68" s="58">
        <v>0</v>
      </c>
      <c r="M68" s="59">
        <v>0</v>
      </c>
      <c r="N68" s="59">
        <v>4972570.1494175131</v>
      </c>
      <c r="O68" s="60">
        <v>261714.13817433207</v>
      </c>
      <c r="P68" s="51">
        <f t="shared" si="32"/>
        <v>34895228.287591845</v>
      </c>
      <c r="Q68" s="61">
        <v>0</v>
      </c>
    </row>
    <row r="69" spans="1:17" ht="15" customHeight="1" x14ac:dyDescent="0.2">
      <c r="A69" s="19" t="s">
        <v>167</v>
      </c>
      <c r="B69" s="23" t="s">
        <v>196</v>
      </c>
      <c r="C69" s="20" t="s">
        <v>155</v>
      </c>
      <c r="D69" s="128"/>
      <c r="E69" s="51">
        <f t="shared" si="29"/>
        <v>10246955</v>
      </c>
      <c r="F69" s="58">
        <v>0</v>
      </c>
      <c r="G69" s="59">
        <v>10246955</v>
      </c>
      <c r="H69" s="59">
        <v>0</v>
      </c>
      <c r="I69" s="60">
        <v>0</v>
      </c>
      <c r="J69" s="51">
        <f t="shared" si="30"/>
        <v>1808286.1945378643</v>
      </c>
      <c r="K69" s="51">
        <f t="shared" si="31"/>
        <v>1717871.9111375732</v>
      </c>
      <c r="L69" s="58">
        <v>0</v>
      </c>
      <c r="M69" s="59">
        <v>0</v>
      </c>
      <c r="N69" s="59">
        <v>1717871.9111375732</v>
      </c>
      <c r="O69" s="60">
        <v>90414.283400291068</v>
      </c>
      <c r="P69" s="51">
        <f t="shared" si="32"/>
        <v>12055241.194537865</v>
      </c>
      <c r="Q69" s="61">
        <v>0</v>
      </c>
    </row>
    <row r="70" spans="1:17" ht="15" customHeight="1" x14ac:dyDescent="0.2">
      <c r="A70" s="19" t="s">
        <v>168</v>
      </c>
      <c r="B70" s="23" t="s">
        <v>196</v>
      </c>
      <c r="C70" s="20" t="s">
        <v>156</v>
      </c>
      <c r="D70" s="128"/>
      <c r="E70" s="51">
        <f t="shared" si="29"/>
        <v>12524057</v>
      </c>
      <c r="F70" s="58">
        <v>0</v>
      </c>
      <c r="G70" s="59">
        <v>12524057</v>
      </c>
      <c r="H70" s="59">
        <v>0</v>
      </c>
      <c r="I70" s="60">
        <v>0</v>
      </c>
      <c r="J70" s="51">
        <f t="shared" si="30"/>
        <v>2210127.7279645805</v>
      </c>
      <c r="K70" s="51">
        <f t="shared" si="31"/>
        <v>2099621.373743312</v>
      </c>
      <c r="L70" s="58">
        <v>0</v>
      </c>
      <c r="M70" s="59">
        <v>0</v>
      </c>
      <c r="N70" s="59">
        <v>2099621.373743312</v>
      </c>
      <c r="O70" s="60">
        <v>110506.35422126859</v>
      </c>
      <c r="P70" s="51">
        <f t="shared" si="32"/>
        <v>14734184.72796458</v>
      </c>
      <c r="Q70" s="61">
        <v>0</v>
      </c>
    </row>
    <row r="71" spans="1:17" ht="15" customHeight="1" x14ac:dyDescent="0.2">
      <c r="A71" s="19" t="s">
        <v>169</v>
      </c>
      <c r="B71" s="23" t="s">
        <v>188</v>
      </c>
      <c r="C71" s="20" t="s">
        <v>157</v>
      </c>
      <c r="D71" s="128"/>
      <c r="E71" s="51">
        <f t="shared" si="29"/>
        <v>28720431</v>
      </c>
      <c r="F71" s="58">
        <v>0</v>
      </c>
      <c r="G71" s="59">
        <v>28720431</v>
      </c>
      <c r="H71" s="59">
        <v>0</v>
      </c>
      <c r="I71" s="60">
        <v>0</v>
      </c>
      <c r="J71" s="51">
        <f t="shared" si="30"/>
        <v>5068311.3529411759</v>
      </c>
      <c r="K71" s="51">
        <f t="shared" si="31"/>
        <v>4814895.7852941174</v>
      </c>
      <c r="L71" s="58">
        <v>0</v>
      </c>
      <c r="M71" s="59">
        <v>0</v>
      </c>
      <c r="N71" s="59">
        <v>4814895.7852941174</v>
      </c>
      <c r="O71" s="60">
        <v>253415.56764705884</v>
      </c>
      <c r="P71" s="51">
        <f t="shared" si="32"/>
        <v>33788742.352941178</v>
      </c>
      <c r="Q71" s="61">
        <v>0</v>
      </c>
    </row>
    <row r="72" spans="1:17" ht="15" customHeight="1" x14ac:dyDescent="0.2">
      <c r="A72" s="19" t="s">
        <v>170</v>
      </c>
      <c r="B72" s="23" t="s">
        <v>188</v>
      </c>
      <c r="C72" s="20" t="s">
        <v>158</v>
      </c>
      <c r="D72" s="128"/>
      <c r="E72" s="51">
        <f t="shared" si="29"/>
        <v>48135797</v>
      </c>
      <c r="F72" s="58">
        <v>0</v>
      </c>
      <c r="G72" s="59">
        <v>48135797</v>
      </c>
      <c r="H72" s="59">
        <v>0</v>
      </c>
      <c r="I72" s="60">
        <v>0</v>
      </c>
      <c r="J72" s="51">
        <f t="shared" si="30"/>
        <v>8494552.4117647056</v>
      </c>
      <c r="K72" s="51">
        <f t="shared" si="31"/>
        <v>8069824.79117647</v>
      </c>
      <c r="L72" s="58">
        <v>2979412</v>
      </c>
      <c r="M72" s="59">
        <v>0</v>
      </c>
      <c r="N72" s="59">
        <v>5090412.79117647</v>
      </c>
      <c r="O72" s="60">
        <v>424727.62058823527</v>
      </c>
      <c r="P72" s="51">
        <f t="shared" si="32"/>
        <v>56630349.411764704</v>
      </c>
      <c r="Q72" s="61">
        <v>0</v>
      </c>
    </row>
    <row r="73" spans="1:17" ht="15" customHeight="1" x14ac:dyDescent="0.2">
      <c r="A73" s="19" t="s">
        <v>171</v>
      </c>
      <c r="B73" s="23" t="s">
        <v>188</v>
      </c>
      <c r="C73" s="20" t="s">
        <v>159</v>
      </c>
      <c r="D73" s="128"/>
      <c r="E73" s="51">
        <f t="shared" si="29"/>
        <v>10000000</v>
      </c>
      <c r="F73" s="58">
        <v>0</v>
      </c>
      <c r="G73" s="59">
        <v>10000000</v>
      </c>
      <c r="H73" s="59">
        <v>0</v>
      </c>
      <c r="I73" s="60">
        <v>0</v>
      </c>
      <c r="J73" s="51">
        <f t="shared" si="30"/>
        <v>1764705.8999847898</v>
      </c>
      <c r="K73" s="51">
        <f t="shared" si="31"/>
        <v>1676470.6306776726</v>
      </c>
      <c r="L73" s="58">
        <v>0</v>
      </c>
      <c r="M73" s="59">
        <v>0</v>
      </c>
      <c r="N73" s="59">
        <v>1676470.6306776726</v>
      </c>
      <c r="O73" s="60">
        <v>88235.269307117152</v>
      </c>
      <c r="P73" s="51">
        <f t="shared" si="32"/>
        <v>11764705.89998479</v>
      </c>
      <c r="Q73" s="61">
        <v>0</v>
      </c>
    </row>
    <row r="74" spans="1:17" ht="15" customHeight="1" x14ac:dyDescent="0.2">
      <c r="A74" s="9" t="s">
        <v>40</v>
      </c>
      <c r="B74" s="27"/>
      <c r="C74" s="10" t="s">
        <v>172</v>
      </c>
      <c r="D74" s="128"/>
      <c r="E74" s="52">
        <f>E75</f>
        <v>45000000</v>
      </c>
      <c r="F74" s="53">
        <f t="shared" ref="F74:Q74" si="33">F75</f>
        <v>0</v>
      </c>
      <c r="G74" s="54">
        <f t="shared" si="33"/>
        <v>45000000</v>
      </c>
      <c r="H74" s="54">
        <f t="shared" si="33"/>
        <v>0</v>
      </c>
      <c r="I74" s="55">
        <f t="shared" si="33"/>
        <v>0</v>
      </c>
      <c r="J74" s="52">
        <f t="shared" si="33"/>
        <v>7941177</v>
      </c>
      <c r="K74" s="52">
        <f t="shared" si="33"/>
        <v>7544119</v>
      </c>
      <c r="L74" s="53">
        <f t="shared" si="33"/>
        <v>1151442</v>
      </c>
      <c r="M74" s="54">
        <f t="shared" si="33"/>
        <v>0</v>
      </c>
      <c r="N74" s="54">
        <f t="shared" si="33"/>
        <v>6392677</v>
      </c>
      <c r="O74" s="55">
        <f t="shared" si="33"/>
        <v>397058</v>
      </c>
      <c r="P74" s="52">
        <f t="shared" si="33"/>
        <v>52941177</v>
      </c>
      <c r="Q74" s="56">
        <f t="shared" si="33"/>
        <v>0</v>
      </c>
    </row>
    <row r="75" spans="1:17" ht="15" customHeight="1" x14ac:dyDescent="0.2">
      <c r="A75" s="14" t="s">
        <v>175</v>
      </c>
      <c r="B75" s="25" t="s">
        <v>189</v>
      </c>
      <c r="C75" s="15" t="s">
        <v>176</v>
      </c>
      <c r="D75" s="128"/>
      <c r="E75" s="51">
        <f>F75+G75+H75+I75</f>
        <v>45000000</v>
      </c>
      <c r="F75" s="58">
        <v>0</v>
      </c>
      <c r="G75" s="59">
        <v>45000000</v>
      </c>
      <c r="H75" s="59">
        <v>0</v>
      </c>
      <c r="I75" s="60">
        <v>0</v>
      </c>
      <c r="J75" s="51">
        <f>K75+O75</f>
        <v>7941177</v>
      </c>
      <c r="K75" s="51">
        <f>L75+M75+N75</f>
        <v>7544119</v>
      </c>
      <c r="L75" s="58">
        <v>1151442</v>
      </c>
      <c r="M75" s="59">
        <v>0</v>
      </c>
      <c r="N75" s="59">
        <f>7544119-L75</f>
        <v>6392677</v>
      </c>
      <c r="O75" s="60">
        <v>397058</v>
      </c>
      <c r="P75" s="51">
        <f>E75+J75</f>
        <v>52941177</v>
      </c>
      <c r="Q75" s="61">
        <v>0</v>
      </c>
    </row>
    <row r="76" spans="1:17" ht="15" customHeight="1" x14ac:dyDescent="0.2">
      <c r="A76" s="9" t="s">
        <v>41</v>
      </c>
      <c r="B76" s="27"/>
      <c r="C76" s="10" t="s">
        <v>180</v>
      </c>
      <c r="D76" s="128"/>
      <c r="E76" s="52">
        <f>E77</f>
        <v>20156712</v>
      </c>
      <c r="F76" s="53">
        <f t="shared" ref="F76:Q76" si="34">F77</f>
        <v>0</v>
      </c>
      <c r="G76" s="54">
        <f t="shared" si="34"/>
        <v>0</v>
      </c>
      <c r="H76" s="54">
        <f t="shared" si="34"/>
        <v>20156712</v>
      </c>
      <c r="I76" s="55">
        <f t="shared" si="34"/>
        <v>0</v>
      </c>
      <c r="J76" s="52">
        <f t="shared" si="34"/>
        <v>3557067</v>
      </c>
      <c r="K76" s="52">
        <f t="shared" si="34"/>
        <v>3557067</v>
      </c>
      <c r="L76" s="53">
        <f t="shared" si="34"/>
        <v>0</v>
      </c>
      <c r="M76" s="54">
        <f t="shared" si="34"/>
        <v>3557067</v>
      </c>
      <c r="N76" s="54">
        <f t="shared" si="34"/>
        <v>0</v>
      </c>
      <c r="O76" s="55">
        <f t="shared" si="34"/>
        <v>0</v>
      </c>
      <c r="P76" s="52">
        <f t="shared" si="34"/>
        <v>23713779</v>
      </c>
      <c r="Q76" s="56">
        <f t="shared" si="34"/>
        <v>0</v>
      </c>
    </row>
    <row r="77" spans="1:17" ht="15" customHeight="1" x14ac:dyDescent="0.2">
      <c r="A77" s="14" t="s">
        <v>174</v>
      </c>
      <c r="B77" s="25" t="s">
        <v>190</v>
      </c>
      <c r="C77" s="15" t="s">
        <v>177</v>
      </c>
      <c r="D77" s="128"/>
      <c r="E77" s="51">
        <f>F77+G77+H77+I77</f>
        <v>20156712</v>
      </c>
      <c r="F77" s="78">
        <v>0</v>
      </c>
      <c r="G77" s="79">
        <v>0</v>
      </c>
      <c r="H77" s="79">
        <v>20156712</v>
      </c>
      <c r="I77" s="80">
        <v>0</v>
      </c>
      <c r="J77" s="51">
        <f>K77+O77</f>
        <v>3557067</v>
      </c>
      <c r="K77" s="51">
        <f>L77+M77+N77</f>
        <v>3557067</v>
      </c>
      <c r="L77" s="78">
        <v>0</v>
      </c>
      <c r="M77" s="79">
        <v>3557067</v>
      </c>
      <c r="N77" s="79">
        <v>0</v>
      </c>
      <c r="O77" s="80">
        <v>0</v>
      </c>
      <c r="P77" s="51">
        <f>E77+J77</f>
        <v>23713779</v>
      </c>
      <c r="Q77" s="81">
        <v>0</v>
      </c>
    </row>
    <row r="78" spans="1:17" ht="15" customHeight="1" x14ac:dyDescent="0.2">
      <c r="A78" s="9" t="s">
        <v>42</v>
      </c>
      <c r="B78" s="27"/>
      <c r="C78" s="10" t="s">
        <v>179</v>
      </c>
      <c r="D78" s="128"/>
      <c r="E78" s="52">
        <f>E79</f>
        <v>50051137</v>
      </c>
      <c r="F78" s="53">
        <f t="shared" ref="F78:Q78" si="35">F79</f>
        <v>0</v>
      </c>
      <c r="G78" s="54">
        <f t="shared" si="35"/>
        <v>50051137</v>
      </c>
      <c r="H78" s="54">
        <f t="shared" si="35"/>
        <v>0</v>
      </c>
      <c r="I78" s="55">
        <f t="shared" si="35"/>
        <v>0</v>
      </c>
      <c r="J78" s="52">
        <f t="shared" si="35"/>
        <v>8832554</v>
      </c>
      <c r="K78" s="52">
        <f t="shared" si="35"/>
        <v>8832554</v>
      </c>
      <c r="L78" s="53">
        <f t="shared" si="35"/>
        <v>0</v>
      </c>
      <c r="M78" s="54">
        <f t="shared" si="35"/>
        <v>8832554</v>
      </c>
      <c r="N78" s="54">
        <f t="shared" si="35"/>
        <v>0</v>
      </c>
      <c r="O78" s="55">
        <f t="shared" si="35"/>
        <v>0</v>
      </c>
      <c r="P78" s="52">
        <f t="shared" si="35"/>
        <v>58883691</v>
      </c>
      <c r="Q78" s="56">
        <f t="shared" si="35"/>
        <v>0</v>
      </c>
    </row>
    <row r="79" spans="1:17" ht="15" customHeight="1" x14ac:dyDescent="0.2">
      <c r="A79" s="14" t="s">
        <v>173</v>
      </c>
      <c r="B79" s="25" t="s">
        <v>190</v>
      </c>
      <c r="C79" s="15" t="s">
        <v>178</v>
      </c>
      <c r="D79" s="128"/>
      <c r="E79" s="51">
        <f>F79+G79+H79+I79</f>
        <v>50051137</v>
      </c>
      <c r="F79" s="58">
        <v>0</v>
      </c>
      <c r="G79" s="59">
        <v>50051137</v>
      </c>
      <c r="H79" s="59">
        <v>0</v>
      </c>
      <c r="I79" s="60">
        <v>0</v>
      </c>
      <c r="J79" s="51">
        <f>K79+O79</f>
        <v>8832554</v>
      </c>
      <c r="K79" s="51">
        <f>L79+M79+N79</f>
        <v>8832554</v>
      </c>
      <c r="L79" s="58">
        <v>0</v>
      </c>
      <c r="M79" s="59">
        <v>8832554</v>
      </c>
      <c r="N79" s="59">
        <v>0</v>
      </c>
      <c r="O79" s="60">
        <v>0</v>
      </c>
      <c r="P79" s="51">
        <f>E79+J79</f>
        <v>58883691</v>
      </c>
      <c r="Q79" s="61">
        <v>0</v>
      </c>
    </row>
    <row r="80" spans="1:17" ht="15" customHeight="1" x14ac:dyDescent="0.2">
      <c r="A80" s="62" t="s">
        <v>181</v>
      </c>
      <c r="B80" s="63"/>
      <c r="C80" s="64" t="s">
        <v>182</v>
      </c>
      <c r="D80" s="128"/>
      <c r="E80" s="68">
        <f>E39+E76</f>
        <v>497393865</v>
      </c>
      <c r="F80" s="69">
        <f t="shared" ref="F80:Q80" si="36">F39+F76</f>
        <v>0</v>
      </c>
      <c r="G80" s="70">
        <f t="shared" si="36"/>
        <v>0</v>
      </c>
      <c r="H80" s="70">
        <f t="shared" si="36"/>
        <v>497393865</v>
      </c>
      <c r="I80" s="71">
        <f t="shared" si="36"/>
        <v>0</v>
      </c>
      <c r="J80" s="68">
        <f t="shared" si="36"/>
        <v>87775389</v>
      </c>
      <c r="K80" s="68">
        <f t="shared" si="36"/>
        <v>79575662</v>
      </c>
      <c r="L80" s="69">
        <f t="shared" si="36"/>
        <v>37280264</v>
      </c>
      <c r="M80" s="70">
        <f t="shared" si="36"/>
        <v>32027103</v>
      </c>
      <c r="N80" s="70">
        <f t="shared" si="36"/>
        <v>10268295</v>
      </c>
      <c r="O80" s="71">
        <f t="shared" si="36"/>
        <v>8199727</v>
      </c>
      <c r="P80" s="68">
        <f t="shared" si="36"/>
        <v>585169254</v>
      </c>
      <c r="Q80" s="72">
        <f t="shared" si="36"/>
        <v>0</v>
      </c>
    </row>
    <row r="81" spans="1:17" ht="15" customHeight="1" x14ac:dyDescent="0.2">
      <c r="A81" s="62" t="s">
        <v>181</v>
      </c>
      <c r="B81" s="63"/>
      <c r="C81" s="64" t="s">
        <v>183</v>
      </c>
      <c r="D81" s="128"/>
      <c r="E81" s="68">
        <f>E7+E14+E32+E36+E61+E74+E78</f>
        <v>1254414458</v>
      </c>
      <c r="F81" s="69">
        <f t="shared" ref="F81:Q81" si="37">F7+F14+F32+F36+F61+F74+F78</f>
        <v>0</v>
      </c>
      <c r="G81" s="70">
        <f t="shared" si="37"/>
        <v>1254414458</v>
      </c>
      <c r="H81" s="70">
        <f t="shared" si="37"/>
        <v>0</v>
      </c>
      <c r="I81" s="71">
        <f t="shared" si="37"/>
        <v>0</v>
      </c>
      <c r="J81" s="68">
        <f t="shared" si="37"/>
        <v>221367259.23014694</v>
      </c>
      <c r="K81" s="68">
        <f t="shared" si="37"/>
        <v>184356007.56668219</v>
      </c>
      <c r="L81" s="69">
        <f t="shared" si="37"/>
        <v>27102885</v>
      </c>
      <c r="M81" s="70">
        <f t="shared" si="37"/>
        <v>8832554</v>
      </c>
      <c r="N81" s="70">
        <f t="shared" si="37"/>
        <v>148420568.56668219</v>
      </c>
      <c r="O81" s="71">
        <f t="shared" si="37"/>
        <v>37011251.663464718</v>
      </c>
      <c r="P81" s="68">
        <f t="shared" si="37"/>
        <v>1475781717.2301469</v>
      </c>
      <c r="Q81" s="72">
        <f t="shared" si="37"/>
        <v>0</v>
      </c>
    </row>
    <row r="82" spans="1:17" ht="15" customHeight="1" thickBot="1" x14ac:dyDescent="0.25">
      <c r="A82" s="65" t="s">
        <v>181</v>
      </c>
      <c r="B82" s="66"/>
      <c r="C82" s="67" t="s">
        <v>184</v>
      </c>
      <c r="D82" s="129"/>
      <c r="E82" s="73">
        <f>E80+E81</f>
        <v>1751808323</v>
      </c>
      <c r="F82" s="74">
        <f t="shared" ref="F82:Q82" si="38">F80+F81</f>
        <v>0</v>
      </c>
      <c r="G82" s="75">
        <f t="shared" si="38"/>
        <v>1254414458</v>
      </c>
      <c r="H82" s="75">
        <f t="shared" si="38"/>
        <v>497393865</v>
      </c>
      <c r="I82" s="76">
        <f t="shared" si="38"/>
        <v>0</v>
      </c>
      <c r="J82" s="73">
        <f t="shared" si="38"/>
        <v>309142648.23014694</v>
      </c>
      <c r="K82" s="73">
        <f t="shared" si="38"/>
        <v>263931669.56668219</v>
      </c>
      <c r="L82" s="74">
        <f t="shared" si="38"/>
        <v>64383149</v>
      </c>
      <c r="M82" s="75">
        <f t="shared" si="38"/>
        <v>40859657</v>
      </c>
      <c r="N82" s="75">
        <f t="shared" si="38"/>
        <v>158688863.56668219</v>
      </c>
      <c r="O82" s="76">
        <f t="shared" si="38"/>
        <v>45210978.663464718</v>
      </c>
      <c r="P82" s="73">
        <f t="shared" si="38"/>
        <v>2060950971.2301469</v>
      </c>
      <c r="Q82" s="77">
        <f t="shared" si="38"/>
        <v>0</v>
      </c>
    </row>
    <row r="83" spans="1:17" ht="15" customHeight="1" x14ac:dyDescent="0.2"/>
    <row r="84" spans="1:17" ht="15" customHeight="1" x14ac:dyDescent="0.2"/>
    <row r="85" spans="1:17" ht="15" customHeight="1" x14ac:dyDescent="0.2"/>
    <row r="86" spans="1:17" ht="15" customHeight="1" x14ac:dyDescent="0.2"/>
    <row r="87" spans="1:17" ht="15" customHeight="1" x14ac:dyDescent="0.2"/>
    <row r="88" spans="1:17" ht="15" customHeight="1" x14ac:dyDescent="0.2"/>
    <row r="89" spans="1:17" ht="15" customHeight="1" x14ac:dyDescent="0.2"/>
    <row r="90" spans="1:17" ht="15" customHeight="1" x14ac:dyDescent="0.2"/>
    <row r="91" spans="1:17" ht="15" customHeight="1" x14ac:dyDescent="0.2"/>
    <row r="92" spans="1:17" ht="15" customHeight="1" x14ac:dyDescent="0.2"/>
  </sheetData>
  <autoFilter ref="A6:Q82" xr:uid="{9051E387-9EDD-42CA-AB31-C376CF068DAB}"/>
  <mergeCells count="11">
    <mergeCell ref="O2:O3"/>
    <mergeCell ref="P2:P3"/>
    <mergeCell ref="Q2:Q3"/>
    <mergeCell ref="B2:B5"/>
    <mergeCell ref="N1:Q1"/>
    <mergeCell ref="D7:D82"/>
    <mergeCell ref="K2:N2"/>
    <mergeCell ref="E2:I2"/>
    <mergeCell ref="A2:A5"/>
    <mergeCell ref="C2:C5"/>
    <mergeCell ref="D2:D5"/>
  </mergeCell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6D3B-9B79-4853-8252-7CBC7F157660}">
  <dimension ref="A1:S155"/>
  <sheetViews>
    <sheetView zoomScaleNormal="100" zoomScaleSheetLayoutView="80" workbookViewId="0">
      <selection activeCell="D1" sqref="D1:F1"/>
    </sheetView>
  </sheetViews>
  <sheetFormatPr defaultRowHeight="10.199999999999999" x14ac:dyDescent="0.2"/>
  <cols>
    <col min="1" max="1" width="9.44140625" style="30" bestFit="1" customWidth="1"/>
    <col min="2" max="2" width="6.77734375" style="30" bestFit="1" customWidth="1"/>
    <col min="3" max="3" width="10.88671875" style="89" customWidth="1"/>
    <col min="4" max="4" width="9.44140625" style="89" bestFit="1" customWidth="1"/>
    <col min="5" max="5" width="8.77734375" style="89" bestFit="1" customWidth="1"/>
    <col min="6" max="6" width="10" style="31" bestFit="1" customWidth="1"/>
    <col min="7" max="7" width="14" style="47" customWidth="1"/>
    <col min="8" max="8" width="5.33203125" style="31" customWidth="1"/>
    <col min="9" max="9" width="10.109375" style="31" customWidth="1"/>
    <col min="10" max="10" width="8.109375" style="31" customWidth="1"/>
    <col min="11" max="11" width="9.109375" style="31" bestFit="1" customWidth="1"/>
    <col min="12" max="12" width="8.88671875" style="31"/>
    <col min="13" max="13" width="9.109375" style="31" bestFit="1" customWidth="1"/>
    <col min="14" max="19" width="8.88671875" style="31"/>
    <col min="20" max="16384" width="8.88671875" style="2"/>
  </cols>
  <sheetData>
    <row r="1" spans="1:19" ht="49.2" customHeight="1" x14ac:dyDescent="0.2">
      <c r="D1" s="124"/>
      <c r="E1" s="125"/>
      <c r="F1" s="125"/>
    </row>
    <row r="2" spans="1:19" s="35" customFormat="1" ht="26.4" customHeight="1" x14ac:dyDescent="0.15">
      <c r="A2" s="33" t="s">
        <v>211</v>
      </c>
      <c r="B2" s="33" t="s">
        <v>212</v>
      </c>
      <c r="C2" s="97" t="s">
        <v>213</v>
      </c>
      <c r="D2" s="97" t="s">
        <v>214</v>
      </c>
      <c r="E2" s="97" t="s">
        <v>215</v>
      </c>
      <c r="F2" s="98" t="s">
        <v>216</v>
      </c>
      <c r="G2" s="4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38" customFormat="1" ht="9" x14ac:dyDescent="0.3">
      <c r="A3" s="36" t="s">
        <v>217</v>
      </c>
      <c r="B3" s="36" t="s">
        <v>217</v>
      </c>
      <c r="C3" s="90" t="s">
        <v>217</v>
      </c>
      <c r="D3" s="90" t="s">
        <v>217</v>
      </c>
      <c r="E3" s="90" t="s">
        <v>218</v>
      </c>
      <c r="F3" s="91" t="s">
        <v>219</v>
      </c>
      <c r="G3" s="46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6.6" customHeight="1" x14ac:dyDescent="0.2">
      <c r="A4" s="39"/>
      <c r="B4" s="39"/>
      <c r="C4" s="83"/>
      <c r="D4" s="83"/>
      <c r="E4" s="83"/>
      <c r="F4" s="84"/>
      <c r="H4" s="37"/>
    </row>
    <row r="5" spans="1:19" ht="10.95" customHeight="1" x14ac:dyDescent="0.2">
      <c r="A5" s="109" t="s">
        <v>34</v>
      </c>
      <c r="B5" s="110">
        <v>1</v>
      </c>
      <c r="C5" s="111" t="s">
        <v>81</v>
      </c>
      <c r="D5" s="83" t="s">
        <v>201</v>
      </c>
      <c r="E5" s="42" t="s">
        <v>220</v>
      </c>
      <c r="F5" s="84">
        <v>4689902</v>
      </c>
      <c r="H5" s="37"/>
    </row>
    <row r="6" spans="1:19" ht="10.95" customHeight="1" x14ac:dyDescent="0.2">
      <c r="A6" s="109"/>
      <c r="B6" s="110"/>
      <c r="C6" s="112"/>
      <c r="D6" s="83" t="s">
        <v>201</v>
      </c>
      <c r="E6" s="42" t="s">
        <v>221</v>
      </c>
      <c r="F6" s="84">
        <v>10021163</v>
      </c>
      <c r="H6" s="37"/>
    </row>
    <row r="7" spans="1:19" ht="10.95" customHeight="1" x14ac:dyDescent="0.2">
      <c r="A7" s="109"/>
      <c r="B7" s="110"/>
      <c r="C7" s="112"/>
      <c r="D7" s="83" t="s">
        <v>201</v>
      </c>
      <c r="E7" s="42" t="s">
        <v>222</v>
      </c>
      <c r="F7" s="84">
        <v>1592164</v>
      </c>
      <c r="H7" s="37"/>
    </row>
    <row r="8" spans="1:19" ht="10.95" customHeight="1" x14ac:dyDescent="0.2">
      <c r="A8" s="109"/>
      <c r="B8" s="110"/>
      <c r="C8" s="112"/>
      <c r="D8" s="83" t="s">
        <v>201</v>
      </c>
      <c r="E8" s="42" t="s">
        <v>223</v>
      </c>
      <c r="F8" s="84">
        <v>2004232</v>
      </c>
    </row>
    <row r="9" spans="1:19" ht="10.95" customHeight="1" x14ac:dyDescent="0.2">
      <c r="A9" s="109"/>
      <c r="B9" s="110"/>
      <c r="C9" s="112"/>
      <c r="D9" s="83" t="s">
        <v>201</v>
      </c>
      <c r="E9" s="42" t="s">
        <v>224</v>
      </c>
      <c r="F9" s="84">
        <v>4810156</v>
      </c>
    </row>
    <row r="10" spans="1:19" ht="10.95" customHeight="1" x14ac:dyDescent="0.2">
      <c r="A10" s="109"/>
      <c r="B10" s="110"/>
      <c r="C10" s="112"/>
      <c r="D10" s="83" t="s">
        <v>201</v>
      </c>
      <c r="E10" s="42" t="s">
        <v>225</v>
      </c>
      <c r="F10" s="84">
        <v>1202538</v>
      </c>
    </row>
    <row r="11" spans="1:19" ht="10.95" customHeight="1" x14ac:dyDescent="0.2">
      <c r="A11" s="109"/>
      <c r="B11" s="110"/>
      <c r="C11" s="112"/>
      <c r="D11" s="83" t="s">
        <v>201</v>
      </c>
      <c r="E11" s="42" t="s">
        <v>226</v>
      </c>
      <c r="F11" s="84">
        <v>4008464</v>
      </c>
    </row>
    <row r="12" spans="1:19" ht="10.95" customHeight="1" x14ac:dyDescent="0.2">
      <c r="A12" s="109"/>
      <c r="B12" s="110"/>
      <c r="C12" s="112"/>
      <c r="D12" s="83" t="s">
        <v>201</v>
      </c>
      <c r="E12" s="42" t="s">
        <v>227</v>
      </c>
      <c r="F12" s="84">
        <v>9620314</v>
      </c>
    </row>
    <row r="13" spans="1:19" ht="10.95" customHeight="1" x14ac:dyDescent="0.2">
      <c r="A13" s="109"/>
      <c r="B13" s="110"/>
      <c r="C13" s="113"/>
      <c r="D13" s="83" t="s">
        <v>201</v>
      </c>
      <c r="E13" s="42" t="s">
        <v>228</v>
      </c>
      <c r="F13" s="84">
        <v>2405078</v>
      </c>
    </row>
    <row r="14" spans="1:19" ht="10.95" customHeight="1" x14ac:dyDescent="0.2">
      <c r="A14" s="109"/>
      <c r="B14" s="110"/>
      <c r="C14" s="111" t="s">
        <v>82</v>
      </c>
      <c r="D14" s="83" t="s">
        <v>201</v>
      </c>
      <c r="E14" s="42" t="s">
        <v>220</v>
      </c>
      <c r="F14" s="40">
        <v>1775935</v>
      </c>
    </row>
    <row r="15" spans="1:19" ht="10.95" customHeight="1" x14ac:dyDescent="0.2">
      <c r="A15" s="109"/>
      <c r="B15" s="110"/>
      <c r="C15" s="112"/>
      <c r="D15" s="83" t="s">
        <v>201</v>
      </c>
      <c r="E15" s="42" t="s">
        <v>221</v>
      </c>
      <c r="F15" s="40">
        <v>3794734</v>
      </c>
    </row>
    <row r="16" spans="1:19" ht="10.95" customHeight="1" x14ac:dyDescent="0.2">
      <c r="A16" s="109"/>
      <c r="B16" s="110"/>
      <c r="C16" s="112"/>
      <c r="D16" s="83" t="s">
        <v>201</v>
      </c>
      <c r="E16" s="42" t="s">
        <v>222</v>
      </c>
      <c r="F16" s="40">
        <v>602908</v>
      </c>
    </row>
    <row r="17" spans="1:10" ht="10.95" customHeight="1" x14ac:dyDescent="0.2">
      <c r="A17" s="109"/>
      <c r="B17" s="110"/>
      <c r="C17" s="112"/>
      <c r="D17" s="83" t="s">
        <v>201</v>
      </c>
      <c r="E17" s="42" t="s">
        <v>223</v>
      </c>
      <c r="F17" s="40">
        <v>758946</v>
      </c>
    </row>
    <row r="18" spans="1:10" ht="10.95" customHeight="1" x14ac:dyDescent="0.2">
      <c r="A18" s="109"/>
      <c r="B18" s="110"/>
      <c r="C18" s="112"/>
      <c r="D18" s="83" t="s">
        <v>201</v>
      </c>
      <c r="E18" s="42" t="s">
        <v>224</v>
      </c>
      <c r="F18" s="40">
        <v>1821472</v>
      </c>
    </row>
    <row r="19" spans="1:10" ht="10.95" customHeight="1" x14ac:dyDescent="0.2">
      <c r="A19" s="109"/>
      <c r="B19" s="110"/>
      <c r="C19" s="112"/>
      <c r="D19" s="83" t="s">
        <v>201</v>
      </c>
      <c r="E19" s="42" t="s">
        <v>225</v>
      </c>
      <c r="F19" s="40">
        <v>455368</v>
      </c>
    </row>
    <row r="20" spans="1:10" ht="10.95" customHeight="1" x14ac:dyDescent="0.2">
      <c r="A20" s="109"/>
      <c r="B20" s="110"/>
      <c r="C20" s="112"/>
      <c r="D20" s="83" t="s">
        <v>201</v>
      </c>
      <c r="E20" s="42" t="s">
        <v>226</v>
      </c>
      <c r="F20" s="40">
        <v>1517893</v>
      </c>
    </row>
    <row r="21" spans="1:10" ht="10.95" customHeight="1" x14ac:dyDescent="0.2">
      <c r="A21" s="109"/>
      <c r="B21" s="110"/>
      <c r="C21" s="112"/>
      <c r="D21" s="83" t="s">
        <v>201</v>
      </c>
      <c r="E21" s="42" t="s">
        <v>227</v>
      </c>
      <c r="F21" s="40">
        <v>3642943</v>
      </c>
    </row>
    <row r="22" spans="1:10" ht="10.95" customHeight="1" x14ac:dyDescent="0.2">
      <c r="A22" s="109"/>
      <c r="B22" s="110"/>
      <c r="C22" s="113"/>
      <c r="D22" s="83" t="s">
        <v>201</v>
      </c>
      <c r="E22" s="42" t="s">
        <v>228</v>
      </c>
      <c r="F22" s="40">
        <v>910736</v>
      </c>
    </row>
    <row r="23" spans="1:10" ht="10.95" customHeight="1" x14ac:dyDescent="0.2">
      <c r="A23" s="109"/>
      <c r="B23" s="110"/>
      <c r="C23" s="111" t="s">
        <v>83</v>
      </c>
      <c r="D23" s="83" t="s">
        <v>201</v>
      </c>
      <c r="E23" s="42" t="s">
        <v>262</v>
      </c>
      <c r="F23" s="40">
        <v>1560606</v>
      </c>
    </row>
    <row r="24" spans="1:10" ht="10.95" customHeight="1" x14ac:dyDescent="0.2">
      <c r="A24" s="109"/>
      <c r="B24" s="110"/>
      <c r="C24" s="113"/>
      <c r="D24" s="83" t="s">
        <v>201</v>
      </c>
      <c r="E24" s="42" t="s">
        <v>263</v>
      </c>
      <c r="F24" s="40">
        <v>2340910</v>
      </c>
    </row>
    <row r="25" spans="1:10" ht="10.95" customHeight="1" x14ac:dyDescent="0.2">
      <c r="A25" s="109"/>
      <c r="B25" s="110"/>
      <c r="C25" s="111" t="s">
        <v>84</v>
      </c>
      <c r="D25" s="83" t="s">
        <v>259</v>
      </c>
      <c r="E25" s="42" t="s">
        <v>260</v>
      </c>
      <c r="F25" s="40">
        <v>17395068</v>
      </c>
    </row>
    <row r="26" spans="1:10" ht="10.95" customHeight="1" x14ac:dyDescent="0.2">
      <c r="A26" s="109"/>
      <c r="B26" s="110"/>
      <c r="C26" s="112"/>
      <c r="D26" s="83" t="s">
        <v>259</v>
      </c>
      <c r="E26" s="42" t="s">
        <v>261</v>
      </c>
      <c r="F26" s="40">
        <v>10000000</v>
      </c>
    </row>
    <row r="27" spans="1:10" ht="10.95" customHeight="1" x14ac:dyDescent="0.2">
      <c r="A27" s="109"/>
      <c r="B27" s="110"/>
      <c r="C27" s="113"/>
      <c r="D27" s="83" t="s">
        <v>259</v>
      </c>
      <c r="E27" s="42">
        <v>172</v>
      </c>
      <c r="F27" s="40">
        <v>2000000</v>
      </c>
    </row>
    <row r="28" spans="1:10" ht="10.95" customHeight="1" x14ac:dyDescent="0.2">
      <c r="A28" s="109"/>
      <c r="B28" s="110"/>
      <c r="C28" s="111" t="s">
        <v>85</v>
      </c>
      <c r="D28" s="83" t="s">
        <v>202</v>
      </c>
      <c r="E28" s="42" t="s">
        <v>229</v>
      </c>
      <c r="F28" s="40">
        <v>34680815</v>
      </c>
      <c r="J28" s="41"/>
    </row>
    <row r="29" spans="1:10" ht="10.95" customHeight="1" x14ac:dyDescent="0.2">
      <c r="A29" s="109"/>
      <c r="B29" s="110"/>
      <c r="C29" s="112"/>
      <c r="D29" s="83" t="s">
        <v>202</v>
      </c>
      <c r="E29" s="42" t="s">
        <v>230</v>
      </c>
      <c r="F29" s="40">
        <v>16755913</v>
      </c>
      <c r="J29" s="41"/>
    </row>
    <row r="30" spans="1:10" ht="10.95" customHeight="1" x14ac:dyDescent="0.2">
      <c r="A30" s="109"/>
      <c r="B30" s="110"/>
      <c r="C30" s="112"/>
      <c r="D30" s="83" t="s">
        <v>202</v>
      </c>
      <c r="E30" s="42" t="s">
        <v>231</v>
      </c>
      <c r="F30" s="40">
        <v>7693696</v>
      </c>
      <c r="J30" s="41"/>
    </row>
    <row r="31" spans="1:10" ht="10.95" customHeight="1" x14ac:dyDescent="0.2">
      <c r="A31" s="109"/>
      <c r="B31" s="110"/>
      <c r="C31" s="111" t="s">
        <v>86</v>
      </c>
      <c r="D31" s="83" t="s">
        <v>202</v>
      </c>
      <c r="E31" s="42" t="s">
        <v>232</v>
      </c>
      <c r="F31" s="40">
        <v>7149362</v>
      </c>
    </row>
    <row r="32" spans="1:10" ht="10.95" customHeight="1" x14ac:dyDescent="0.2">
      <c r="A32" s="109"/>
      <c r="B32" s="110"/>
      <c r="C32" s="113"/>
      <c r="D32" s="83" t="s">
        <v>202</v>
      </c>
      <c r="E32" s="42" t="s">
        <v>230</v>
      </c>
      <c r="F32" s="40">
        <v>28597449</v>
      </c>
      <c r="G32" s="95">
        <f>SUM(F5:F32)</f>
        <v>183808765</v>
      </c>
      <c r="H32" s="96"/>
    </row>
    <row r="33" spans="1:17" ht="10.95" customHeight="1" x14ac:dyDescent="0.2">
      <c r="A33" s="114" t="s">
        <v>35</v>
      </c>
      <c r="B33" s="117">
        <v>2</v>
      </c>
      <c r="C33" s="111" t="s">
        <v>87</v>
      </c>
      <c r="D33" s="83" t="s">
        <v>197</v>
      </c>
      <c r="E33" s="42" t="s">
        <v>233</v>
      </c>
      <c r="F33" s="40">
        <v>5733270.629215504</v>
      </c>
    </row>
    <row r="34" spans="1:17" ht="10.95" customHeight="1" x14ac:dyDescent="0.2">
      <c r="A34" s="115"/>
      <c r="B34" s="118"/>
      <c r="C34" s="112"/>
      <c r="D34" s="83" t="s">
        <v>197</v>
      </c>
      <c r="E34" s="42" t="s">
        <v>234</v>
      </c>
      <c r="F34" s="40">
        <v>2565386.3360205493</v>
      </c>
    </row>
    <row r="35" spans="1:17" ht="10.95" customHeight="1" x14ac:dyDescent="0.2">
      <c r="A35" s="115"/>
      <c r="B35" s="118"/>
      <c r="C35" s="112"/>
      <c r="D35" s="83" t="s">
        <v>197</v>
      </c>
      <c r="E35" s="42" t="s">
        <v>235</v>
      </c>
      <c r="F35" s="40">
        <v>18912222.034763947</v>
      </c>
    </row>
    <row r="36" spans="1:17" ht="10.95" customHeight="1" x14ac:dyDescent="0.2">
      <c r="A36" s="115"/>
      <c r="B36" s="118"/>
      <c r="C36" s="112"/>
      <c r="D36" s="83" t="s">
        <v>197</v>
      </c>
      <c r="E36" s="43" t="s">
        <v>236</v>
      </c>
      <c r="F36" s="40">
        <v>3634168</v>
      </c>
    </row>
    <row r="37" spans="1:17" s="31" customFormat="1" ht="10.95" customHeight="1" x14ac:dyDescent="0.2">
      <c r="A37" s="115"/>
      <c r="B37" s="118"/>
      <c r="C37" s="113"/>
      <c r="D37" s="83" t="s">
        <v>197</v>
      </c>
      <c r="E37" s="42" t="s">
        <v>237</v>
      </c>
      <c r="F37" s="40">
        <v>1000000</v>
      </c>
      <c r="G37" s="47"/>
    </row>
    <row r="38" spans="1:17" s="31" customFormat="1" ht="10.95" customHeight="1" x14ac:dyDescent="0.2">
      <c r="A38" s="115"/>
      <c r="B38" s="118"/>
      <c r="C38" s="120" t="s">
        <v>88</v>
      </c>
      <c r="D38" s="83" t="s">
        <v>197</v>
      </c>
      <c r="E38" s="42" t="s">
        <v>233</v>
      </c>
      <c r="F38" s="40">
        <v>11384060.35859832</v>
      </c>
      <c r="G38" s="47"/>
    </row>
    <row r="39" spans="1:17" s="31" customFormat="1" ht="10.95" customHeight="1" x14ac:dyDescent="0.2">
      <c r="A39" s="115"/>
      <c r="B39" s="118"/>
      <c r="C39" s="121"/>
      <c r="D39" s="83" t="s">
        <v>197</v>
      </c>
      <c r="E39" s="42" t="s">
        <v>234</v>
      </c>
      <c r="F39" s="40">
        <v>13761554.568561533</v>
      </c>
      <c r="G39" s="47"/>
    </row>
    <row r="40" spans="1:17" s="31" customFormat="1" ht="10.95" customHeight="1" x14ac:dyDescent="0.2">
      <c r="A40" s="115"/>
      <c r="B40" s="118"/>
      <c r="C40" s="121"/>
      <c r="D40" s="83" t="s">
        <v>197</v>
      </c>
      <c r="E40" s="42" t="s">
        <v>235</v>
      </c>
      <c r="F40" s="40">
        <v>26188758.072840143</v>
      </c>
      <c r="G40" s="47"/>
    </row>
    <row r="41" spans="1:17" s="31" customFormat="1" ht="10.95" customHeight="1" x14ac:dyDescent="0.2">
      <c r="A41" s="115"/>
      <c r="B41" s="118"/>
      <c r="C41" s="120" t="s">
        <v>89</v>
      </c>
      <c r="D41" s="83" t="s">
        <v>197</v>
      </c>
      <c r="E41" s="42" t="s">
        <v>233</v>
      </c>
      <c r="F41" s="40">
        <v>11390790.64140168</v>
      </c>
      <c r="G41" s="47"/>
    </row>
    <row r="42" spans="1:17" s="31" customFormat="1" ht="10.95" customHeight="1" x14ac:dyDescent="0.2">
      <c r="A42" s="115"/>
      <c r="B42" s="118"/>
      <c r="C42" s="121"/>
      <c r="D42" s="83" t="s">
        <v>197</v>
      </c>
      <c r="E42" s="42" t="s">
        <v>234</v>
      </c>
      <c r="F42" s="40">
        <v>13769690.431438467</v>
      </c>
      <c r="G42" s="47"/>
    </row>
    <row r="43" spans="1:17" s="31" customFormat="1" ht="10.95" customHeight="1" x14ac:dyDescent="0.2">
      <c r="A43" s="115"/>
      <c r="B43" s="118"/>
      <c r="C43" s="121"/>
      <c r="D43" s="83" t="s">
        <v>197</v>
      </c>
      <c r="E43" s="42" t="s">
        <v>235</v>
      </c>
      <c r="F43" s="40">
        <v>26204240.927159857</v>
      </c>
      <c r="G43" s="47"/>
    </row>
    <row r="44" spans="1:17" s="31" customFormat="1" ht="10.95" customHeight="1" x14ac:dyDescent="0.2">
      <c r="A44" s="115"/>
      <c r="B44" s="118"/>
      <c r="C44" s="111" t="s">
        <v>90</v>
      </c>
      <c r="D44" s="83" t="s">
        <v>197</v>
      </c>
      <c r="E44" s="42" t="s">
        <v>233</v>
      </c>
      <c r="F44" s="40">
        <v>2106977.3707844955</v>
      </c>
      <c r="G44" s="47"/>
    </row>
    <row r="45" spans="1:17" s="31" customFormat="1" ht="10.95" customHeight="1" x14ac:dyDescent="0.2">
      <c r="A45" s="115"/>
      <c r="B45" s="118"/>
      <c r="C45" s="112"/>
      <c r="D45" s="83" t="s">
        <v>197</v>
      </c>
      <c r="E45" s="42" t="s">
        <v>234</v>
      </c>
      <c r="F45" s="40">
        <v>942779.66397945071</v>
      </c>
      <c r="G45" s="47"/>
    </row>
    <row r="46" spans="1:17" s="31" customFormat="1" ht="10.95" customHeight="1" x14ac:dyDescent="0.2">
      <c r="A46" s="115"/>
      <c r="B46" s="118"/>
      <c r="C46" s="113"/>
      <c r="D46" s="83" t="s">
        <v>197</v>
      </c>
      <c r="E46" s="42" t="s">
        <v>235</v>
      </c>
      <c r="F46" s="40">
        <v>6950242.9652360538</v>
      </c>
      <c r="G46" s="47"/>
    </row>
    <row r="47" spans="1:17" s="31" customFormat="1" ht="10.95" customHeight="1" x14ac:dyDescent="0.2">
      <c r="A47" s="115"/>
      <c r="B47" s="118"/>
      <c r="C47" s="85" t="s">
        <v>91</v>
      </c>
      <c r="D47" s="83" t="s">
        <v>197</v>
      </c>
      <c r="E47" s="42" t="s">
        <v>233</v>
      </c>
      <c r="F47" s="40">
        <v>19365394</v>
      </c>
      <c r="G47" s="47"/>
      <c r="O47" s="32"/>
      <c r="P47" s="44"/>
      <c r="Q47" s="44"/>
    </row>
    <row r="48" spans="1:17" s="31" customFormat="1" ht="10.95" customHeight="1" x14ac:dyDescent="0.2">
      <c r="A48" s="115"/>
      <c r="B48" s="118"/>
      <c r="C48" s="111" t="s">
        <v>92</v>
      </c>
      <c r="D48" s="83" t="s">
        <v>198</v>
      </c>
      <c r="E48" s="42" t="s">
        <v>238</v>
      </c>
      <c r="F48" s="40">
        <v>736355.54886410618</v>
      </c>
      <c r="G48" s="47"/>
      <c r="O48" s="32"/>
      <c r="P48" s="44"/>
      <c r="Q48" s="44"/>
    </row>
    <row r="49" spans="1:19" s="31" customFormat="1" ht="10.95" customHeight="1" x14ac:dyDescent="0.2">
      <c r="A49" s="115"/>
      <c r="B49" s="118"/>
      <c r="C49" s="112"/>
      <c r="D49" s="83" t="s">
        <v>198</v>
      </c>
      <c r="E49" s="42" t="s">
        <v>239</v>
      </c>
      <c r="F49" s="40">
        <v>2945422.3214477468</v>
      </c>
      <c r="G49" s="47"/>
      <c r="O49" s="32"/>
      <c r="P49" s="44"/>
      <c r="Q49" s="44"/>
    </row>
    <row r="50" spans="1:19" s="31" customFormat="1" ht="10.95" customHeight="1" x14ac:dyDescent="0.2">
      <c r="A50" s="115"/>
      <c r="B50" s="118"/>
      <c r="C50" s="112"/>
      <c r="D50" s="83" t="s">
        <v>198</v>
      </c>
      <c r="E50" s="42" t="s">
        <v>240</v>
      </c>
      <c r="F50" s="40">
        <v>1472710.8063919861</v>
      </c>
      <c r="G50" s="47"/>
      <c r="O50" s="32"/>
      <c r="P50" s="44"/>
      <c r="Q50" s="44"/>
    </row>
    <row r="51" spans="1:19" s="31" customFormat="1" ht="10.95" customHeight="1" x14ac:dyDescent="0.2">
      <c r="A51" s="115"/>
      <c r="B51" s="118"/>
      <c r="C51" s="112"/>
      <c r="D51" s="83" t="s">
        <v>198</v>
      </c>
      <c r="E51" s="42" t="s">
        <v>241</v>
      </c>
      <c r="F51" s="40">
        <v>1104533.3232961595</v>
      </c>
      <c r="G51" s="47"/>
      <c r="O51" s="32"/>
      <c r="P51" s="44"/>
      <c r="Q51" s="44"/>
    </row>
    <row r="52" spans="1:19" s="31" customFormat="1" ht="10.95" customHeight="1" x14ac:dyDescent="0.2">
      <c r="A52" s="115"/>
      <c r="B52" s="118"/>
      <c r="C52" s="112"/>
      <c r="D52" s="83" t="s">
        <v>198</v>
      </c>
      <c r="E52" s="99" t="s">
        <v>264</v>
      </c>
      <c r="F52" s="101">
        <v>6057283</v>
      </c>
      <c r="G52" s="47"/>
      <c r="O52" s="32"/>
      <c r="P52" s="44"/>
      <c r="Q52" s="44"/>
    </row>
    <row r="53" spans="1:19" s="31" customFormat="1" ht="10.95" customHeight="1" x14ac:dyDescent="0.2">
      <c r="A53" s="115"/>
      <c r="B53" s="118"/>
      <c r="C53" s="113"/>
      <c r="D53" s="83" t="s">
        <v>198</v>
      </c>
      <c r="E53" s="99">
        <v>172</v>
      </c>
      <c r="F53" s="101">
        <v>2125365</v>
      </c>
      <c r="G53" s="47"/>
      <c r="O53" s="32"/>
      <c r="P53" s="44"/>
      <c r="Q53" s="44"/>
    </row>
    <row r="54" spans="1:19" s="31" customFormat="1" ht="10.95" customHeight="1" x14ac:dyDescent="0.2">
      <c r="A54" s="115"/>
      <c r="B54" s="118"/>
      <c r="C54" s="111" t="s">
        <v>93</v>
      </c>
      <c r="D54" s="83" t="s">
        <v>198</v>
      </c>
      <c r="E54" s="83" t="s">
        <v>238</v>
      </c>
      <c r="F54" s="40">
        <v>1176470.4511358938</v>
      </c>
      <c r="G54" s="47"/>
    </row>
    <row r="55" spans="1:19" s="31" customFormat="1" ht="10.95" customHeight="1" x14ac:dyDescent="0.2">
      <c r="A55" s="115"/>
      <c r="B55" s="118"/>
      <c r="C55" s="112"/>
      <c r="D55" s="83" t="s">
        <v>198</v>
      </c>
      <c r="E55" s="83" t="s">
        <v>239</v>
      </c>
      <c r="F55" s="40">
        <v>4705882.6785522532</v>
      </c>
      <c r="G55" s="47"/>
    </row>
    <row r="56" spans="1:19" s="31" customFormat="1" ht="10.95" customHeight="1" x14ac:dyDescent="0.2">
      <c r="A56" s="115"/>
      <c r="B56" s="118"/>
      <c r="C56" s="112"/>
      <c r="D56" s="83" t="s">
        <v>198</v>
      </c>
      <c r="E56" s="83" t="s">
        <v>240</v>
      </c>
      <c r="F56" s="40">
        <v>2352941.1936080134</v>
      </c>
      <c r="G56" s="47"/>
    </row>
    <row r="57" spans="1:19" s="32" customFormat="1" ht="10.95" customHeight="1" x14ac:dyDescent="0.2">
      <c r="A57" s="115"/>
      <c r="B57" s="118"/>
      <c r="C57" s="113"/>
      <c r="D57" s="83" t="s">
        <v>198</v>
      </c>
      <c r="E57" s="83" t="s">
        <v>241</v>
      </c>
      <c r="F57" s="102">
        <v>1764705.6767038407</v>
      </c>
      <c r="G57" s="47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1:19" s="32" customFormat="1" ht="10.95" customHeight="1" x14ac:dyDescent="0.2">
      <c r="A58" s="115"/>
      <c r="B58" s="118"/>
      <c r="C58" s="111" t="s">
        <v>94</v>
      </c>
      <c r="D58" s="83" t="s">
        <v>198</v>
      </c>
      <c r="E58" s="42" t="s">
        <v>238</v>
      </c>
      <c r="F58" s="102">
        <v>2696025</v>
      </c>
      <c r="G58" s="47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1:19" s="32" customFormat="1" ht="10.95" customHeight="1" x14ac:dyDescent="0.2">
      <c r="A59" s="115"/>
      <c r="B59" s="118"/>
      <c r="C59" s="112"/>
      <c r="D59" s="83" t="s">
        <v>198</v>
      </c>
      <c r="E59" s="42" t="s">
        <v>239</v>
      </c>
      <c r="F59" s="102">
        <v>10784103</v>
      </c>
      <c r="G59" s="47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1:19" s="32" customFormat="1" ht="10.95" customHeight="1" x14ac:dyDescent="0.2">
      <c r="A60" s="115"/>
      <c r="B60" s="118"/>
      <c r="C60" s="112"/>
      <c r="D60" s="83" t="s">
        <v>198</v>
      </c>
      <c r="E60" s="42" t="s">
        <v>240</v>
      </c>
      <c r="F60" s="102">
        <v>5392052</v>
      </c>
      <c r="G60" s="47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1:19" s="32" customFormat="1" ht="10.95" customHeight="1" x14ac:dyDescent="0.2">
      <c r="A61" s="115"/>
      <c r="B61" s="118"/>
      <c r="C61" s="113"/>
      <c r="D61" s="83" t="s">
        <v>198</v>
      </c>
      <c r="E61" s="42" t="s">
        <v>241</v>
      </c>
      <c r="F61" s="102">
        <v>4044038</v>
      </c>
      <c r="G61" s="47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19" s="32" customFormat="1" ht="10.95" customHeight="1" x14ac:dyDescent="0.2">
      <c r="A62" s="115"/>
      <c r="B62" s="118"/>
      <c r="C62" s="120" t="s">
        <v>95</v>
      </c>
      <c r="D62" s="83" t="s">
        <v>199</v>
      </c>
      <c r="E62" s="42" t="s">
        <v>242</v>
      </c>
      <c r="F62" s="102">
        <v>9433165.4405656364</v>
      </c>
      <c r="G62" s="47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19" s="32" customFormat="1" ht="10.95" customHeight="1" x14ac:dyDescent="0.2">
      <c r="A63" s="115"/>
      <c r="B63" s="118"/>
      <c r="C63" s="122"/>
      <c r="D63" s="83" t="s">
        <v>199</v>
      </c>
      <c r="E63" s="42" t="s">
        <v>243</v>
      </c>
      <c r="F63" s="102">
        <v>6507446.5594343636</v>
      </c>
      <c r="G63" s="47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 s="32" customFormat="1" ht="10.95" customHeight="1" x14ac:dyDescent="0.2">
      <c r="A64" s="115"/>
      <c r="B64" s="118"/>
      <c r="C64" s="120" t="s">
        <v>96</v>
      </c>
      <c r="D64" s="83" t="s">
        <v>199</v>
      </c>
      <c r="E64" s="42" t="s">
        <v>242</v>
      </c>
      <c r="F64" s="102">
        <v>7109416.2485625176</v>
      </c>
      <c r="G64" s="47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 s="32" customFormat="1" ht="10.95" customHeight="1" x14ac:dyDescent="0.2">
      <c r="A65" s="115"/>
      <c r="B65" s="118"/>
      <c r="C65" s="122"/>
      <c r="D65" s="83" t="s">
        <v>199</v>
      </c>
      <c r="E65" s="42" t="s">
        <v>243</v>
      </c>
      <c r="F65" s="102">
        <v>4904413.7514374824</v>
      </c>
      <c r="G65" s="47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1:19" s="32" customFormat="1" ht="10.95" customHeight="1" x14ac:dyDescent="0.2">
      <c r="A66" s="115"/>
      <c r="B66" s="118"/>
      <c r="C66" s="120" t="s">
        <v>97</v>
      </c>
      <c r="D66" s="83" t="s">
        <v>199</v>
      </c>
      <c r="E66" s="42" t="s">
        <v>242</v>
      </c>
      <c r="F66" s="102">
        <v>11127354.310871847</v>
      </c>
      <c r="G66" s="47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1:19" s="32" customFormat="1" ht="10.95" customHeight="1" x14ac:dyDescent="0.2">
      <c r="A67" s="115"/>
      <c r="B67" s="118"/>
      <c r="C67" s="122"/>
      <c r="D67" s="83" t="s">
        <v>199</v>
      </c>
      <c r="E67" s="42" t="s">
        <v>243</v>
      </c>
      <c r="F67" s="102">
        <v>7676178.689128154</v>
      </c>
      <c r="G67" s="47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1:19" s="32" customFormat="1" ht="10.95" customHeight="1" x14ac:dyDescent="0.2">
      <c r="A68" s="115"/>
      <c r="B68" s="118"/>
      <c r="C68" s="111" t="s">
        <v>98</v>
      </c>
      <c r="D68" s="83" t="s">
        <v>191</v>
      </c>
      <c r="E68" s="42" t="s">
        <v>244</v>
      </c>
      <c r="F68" s="102">
        <v>6376087</v>
      </c>
      <c r="G68" s="47"/>
      <c r="I68" s="31"/>
      <c r="J68" s="31"/>
      <c r="K68" s="31"/>
      <c r="M68" s="31"/>
      <c r="N68" s="31"/>
      <c r="O68" s="31"/>
      <c r="P68" s="31"/>
      <c r="Q68" s="31"/>
      <c r="R68" s="31"/>
      <c r="S68" s="31"/>
    </row>
    <row r="69" spans="1:19" s="32" customFormat="1" ht="10.95" customHeight="1" x14ac:dyDescent="0.2">
      <c r="A69" s="115"/>
      <c r="B69" s="118"/>
      <c r="C69" s="113"/>
      <c r="D69" s="83" t="s">
        <v>191</v>
      </c>
      <c r="E69" s="42" t="s">
        <v>245</v>
      </c>
      <c r="F69" s="102">
        <v>14877538</v>
      </c>
      <c r="G69" s="47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19" s="32" customFormat="1" ht="10.95" customHeight="1" x14ac:dyDescent="0.2">
      <c r="A70" s="115"/>
      <c r="B70" s="118"/>
      <c r="C70" s="85" t="s">
        <v>99</v>
      </c>
      <c r="D70" s="83" t="s">
        <v>192</v>
      </c>
      <c r="E70" s="42" t="s">
        <v>246</v>
      </c>
      <c r="F70" s="102">
        <v>29755075</v>
      </c>
      <c r="G70" s="47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19" s="32" customFormat="1" ht="10.95" customHeight="1" x14ac:dyDescent="0.2">
      <c r="A71" s="115"/>
      <c r="B71" s="118"/>
      <c r="C71" s="111" t="s">
        <v>100</v>
      </c>
      <c r="D71" s="88" t="s">
        <v>192</v>
      </c>
      <c r="E71" s="42" t="s">
        <v>247</v>
      </c>
      <c r="F71" s="102">
        <v>4850638</v>
      </c>
      <c r="G71" s="47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19" s="31" customFormat="1" ht="10.95" customHeight="1" x14ac:dyDescent="0.2">
      <c r="A72" s="115"/>
      <c r="B72" s="118"/>
      <c r="C72" s="113"/>
      <c r="D72" s="88" t="s">
        <v>192</v>
      </c>
      <c r="E72" s="42" t="s">
        <v>248</v>
      </c>
      <c r="F72" s="102">
        <v>14551913</v>
      </c>
      <c r="G72" s="47"/>
      <c r="H72" s="32"/>
    </row>
    <row r="73" spans="1:19" s="31" customFormat="1" ht="10.95" customHeight="1" x14ac:dyDescent="0.2">
      <c r="A73" s="115"/>
      <c r="B73" s="118"/>
      <c r="C73" s="111" t="s">
        <v>101</v>
      </c>
      <c r="D73" s="83" t="s">
        <v>200</v>
      </c>
      <c r="E73" s="100" t="s">
        <v>245</v>
      </c>
      <c r="F73" s="108">
        <v>0</v>
      </c>
      <c r="G73" s="47"/>
      <c r="H73" s="32"/>
    </row>
    <row r="74" spans="1:19" s="31" customFormat="1" ht="10.95" customHeight="1" x14ac:dyDescent="0.2">
      <c r="A74" s="115"/>
      <c r="B74" s="118"/>
      <c r="C74" s="112"/>
      <c r="D74" s="83" t="s">
        <v>200</v>
      </c>
      <c r="E74" s="42" t="s">
        <v>249</v>
      </c>
      <c r="F74" s="102">
        <v>1871973</v>
      </c>
      <c r="G74" s="47"/>
      <c r="H74" s="32"/>
      <c r="N74" s="107"/>
    </row>
    <row r="75" spans="1:19" s="31" customFormat="1" ht="10.95" customHeight="1" x14ac:dyDescent="0.2">
      <c r="A75" s="115"/>
      <c r="B75" s="118"/>
      <c r="C75" s="113"/>
      <c r="D75" s="83" t="s">
        <v>200</v>
      </c>
      <c r="E75" s="42" t="s">
        <v>250</v>
      </c>
      <c r="F75" s="102">
        <v>6072127</v>
      </c>
      <c r="G75" s="47"/>
      <c r="H75" s="32"/>
      <c r="N75" s="107"/>
    </row>
    <row r="76" spans="1:19" s="31" customFormat="1" ht="10.95" customHeight="1" x14ac:dyDescent="0.2">
      <c r="A76" s="115"/>
      <c r="B76" s="118"/>
      <c r="C76" s="111" t="s">
        <v>102</v>
      </c>
      <c r="D76" s="83" t="s">
        <v>200</v>
      </c>
      <c r="E76" s="42" t="s">
        <v>245</v>
      </c>
      <c r="F76" s="102">
        <v>1000000</v>
      </c>
      <c r="G76" s="47"/>
      <c r="H76" s="32"/>
    </row>
    <row r="77" spans="1:19" s="31" customFormat="1" ht="10.95" customHeight="1" x14ac:dyDescent="0.2">
      <c r="A77" s="115"/>
      <c r="B77" s="118"/>
      <c r="C77" s="112"/>
      <c r="D77" s="83" t="s">
        <v>200</v>
      </c>
      <c r="E77" s="42" t="s">
        <v>249</v>
      </c>
      <c r="F77" s="102">
        <v>758512</v>
      </c>
      <c r="G77" s="47"/>
      <c r="H77" s="32"/>
    </row>
    <row r="78" spans="1:19" s="31" customFormat="1" ht="10.95" customHeight="1" x14ac:dyDescent="0.2">
      <c r="A78" s="115"/>
      <c r="B78" s="118"/>
      <c r="C78" s="113"/>
      <c r="D78" s="83" t="s">
        <v>200</v>
      </c>
      <c r="E78" s="42" t="s">
        <v>250</v>
      </c>
      <c r="F78" s="40">
        <v>2460389</v>
      </c>
      <c r="G78" s="47"/>
      <c r="H78" s="32"/>
    </row>
    <row r="79" spans="1:19" s="31" customFormat="1" ht="10.95" customHeight="1" x14ac:dyDescent="0.2">
      <c r="A79" s="115"/>
      <c r="B79" s="118"/>
      <c r="C79" s="111" t="s">
        <v>103</v>
      </c>
      <c r="D79" s="83" t="s">
        <v>200</v>
      </c>
      <c r="E79" s="99" t="s">
        <v>245</v>
      </c>
      <c r="F79" s="108">
        <v>0</v>
      </c>
      <c r="G79" s="47"/>
      <c r="H79" s="32"/>
    </row>
    <row r="80" spans="1:19" s="31" customFormat="1" ht="10.95" customHeight="1" x14ac:dyDescent="0.2">
      <c r="A80" s="115"/>
      <c r="B80" s="118"/>
      <c r="C80" s="112"/>
      <c r="D80" s="83" t="s">
        <v>200</v>
      </c>
      <c r="E80" s="42" t="s">
        <v>249</v>
      </c>
      <c r="F80" s="102">
        <v>1178216</v>
      </c>
      <c r="G80" s="47"/>
    </row>
    <row r="81" spans="1:8" s="31" customFormat="1" ht="10.95" customHeight="1" x14ac:dyDescent="0.2">
      <c r="A81" s="116"/>
      <c r="B81" s="119"/>
      <c r="C81" s="113"/>
      <c r="D81" s="83" t="s">
        <v>200</v>
      </c>
      <c r="E81" s="42" t="s">
        <v>250</v>
      </c>
      <c r="F81" s="40">
        <v>3821784</v>
      </c>
      <c r="G81" s="95">
        <f>SUM(F33:F81)</f>
        <v>345599651</v>
      </c>
      <c r="H81" s="96"/>
    </row>
    <row r="82" spans="1:8" s="31" customFormat="1" ht="10.95" customHeight="1" x14ac:dyDescent="0.2">
      <c r="A82" s="109" t="s">
        <v>36</v>
      </c>
      <c r="B82" s="110">
        <v>2</v>
      </c>
      <c r="C82" s="123" t="s">
        <v>49</v>
      </c>
      <c r="D82" s="83" t="s">
        <v>185</v>
      </c>
      <c r="E82" s="83" t="s">
        <v>251</v>
      </c>
      <c r="F82" s="102">
        <v>256781</v>
      </c>
      <c r="G82" s="47"/>
    </row>
    <row r="83" spans="1:8" s="31" customFormat="1" ht="10.95" customHeight="1" x14ac:dyDescent="0.2">
      <c r="A83" s="109"/>
      <c r="B83" s="110"/>
      <c r="C83" s="123"/>
      <c r="D83" s="83" t="s">
        <v>185</v>
      </c>
      <c r="E83" s="83" t="s">
        <v>252</v>
      </c>
      <c r="F83" s="102">
        <v>5452363</v>
      </c>
      <c r="G83" s="47"/>
    </row>
    <row r="84" spans="1:8" s="31" customFormat="1" ht="10.95" customHeight="1" x14ac:dyDescent="0.2">
      <c r="A84" s="109"/>
      <c r="B84" s="110"/>
      <c r="C84" s="123"/>
      <c r="D84" s="83" t="s">
        <v>185</v>
      </c>
      <c r="E84" s="83" t="s">
        <v>254</v>
      </c>
      <c r="F84" s="102">
        <v>3615131</v>
      </c>
      <c r="G84" s="47"/>
    </row>
    <row r="85" spans="1:8" s="31" customFormat="1" ht="10.95" customHeight="1" x14ac:dyDescent="0.2">
      <c r="A85" s="109"/>
      <c r="B85" s="110"/>
      <c r="C85" s="123"/>
      <c r="D85" s="83" t="s">
        <v>185</v>
      </c>
      <c r="E85" s="83" t="s">
        <v>256</v>
      </c>
      <c r="F85" s="102">
        <v>766854</v>
      </c>
      <c r="G85" s="47"/>
    </row>
    <row r="86" spans="1:8" s="31" customFormat="1" ht="10.95" customHeight="1" x14ac:dyDescent="0.2">
      <c r="A86" s="109"/>
      <c r="B86" s="110"/>
      <c r="C86" s="123" t="s">
        <v>50</v>
      </c>
      <c r="D86" s="83" t="s">
        <v>185</v>
      </c>
      <c r="E86" s="83" t="s">
        <v>251</v>
      </c>
      <c r="F86" s="102">
        <v>3082071.4649588894</v>
      </c>
      <c r="G86" s="47"/>
    </row>
    <row r="87" spans="1:8" s="31" customFormat="1" ht="10.95" customHeight="1" x14ac:dyDescent="0.2">
      <c r="A87" s="109"/>
      <c r="B87" s="110"/>
      <c r="C87" s="123"/>
      <c r="D87" s="83" t="s">
        <v>185</v>
      </c>
      <c r="E87" s="83" t="s">
        <v>252</v>
      </c>
      <c r="F87" s="102">
        <v>12447874.432468278</v>
      </c>
      <c r="G87" s="47"/>
    </row>
    <row r="88" spans="1:8" s="31" customFormat="1" ht="10.95" customHeight="1" x14ac:dyDescent="0.2">
      <c r="A88" s="109"/>
      <c r="B88" s="110"/>
      <c r="C88" s="123"/>
      <c r="D88" s="83" t="s">
        <v>185</v>
      </c>
      <c r="E88" s="83" t="s">
        <v>253</v>
      </c>
      <c r="F88" s="102">
        <v>4425412.104879329</v>
      </c>
      <c r="G88" s="47"/>
    </row>
    <row r="89" spans="1:8" s="31" customFormat="1" ht="10.95" customHeight="1" x14ac:dyDescent="0.2">
      <c r="A89" s="109"/>
      <c r="B89" s="110"/>
      <c r="C89" s="123"/>
      <c r="D89" s="83" t="s">
        <v>185</v>
      </c>
      <c r="E89" s="83" t="s">
        <v>254</v>
      </c>
      <c r="F89" s="102">
        <v>35642227.486929879</v>
      </c>
      <c r="G89" s="47"/>
    </row>
    <row r="90" spans="1:8" s="31" customFormat="1" ht="10.95" customHeight="1" x14ac:dyDescent="0.2">
      <c r="A90" s="109"/>
      <c r="B90" s="110"/>
      <c r="C90" s="123"/>
      <c r="D90" s="83" t="s">
        <v>185</v>
      </c>
      <c r="E90" s="83" t="s">
        <v>255</v>
      </c>
      <c r="F90" s="102">
        <v>6668323.8890410019</v>
      </c>
      <c r="G90" s="47"/>
    </row>
    <row r="91" spans="1:8" s="31" customFormat="1" ht="10.95" customHeight="1" x14ac:dyDescent="0.2">
      <c r="A91" s="109"/>
      <c r="B91" s="110"/>
      <c r="C91" s="123"/>
      <c r="D91" s="83" t="s">
        <v>185</v>
      </c>
      <c r="E91" s="83" t="s">
        <v>256</v>
      </c>
      <c r="F91" s="102">
        <v>1042546.621722626</v>
      </c>
      <c r="G91" s="47"/>
    </row>
    <row r="92" spans="1:8" s="31" customFormat="1" ht="10.95" customHeight="1" x14ac:dyDescent="0.2">
      <c r="A92" s="109"/>
      <c r="B92" s="110"/>
      <c r="C92" s="123" t="s">
        <v>51</v>
      </c>
      <c r="D92" s="83" t="s">
        <v>185</v>
      </c>
      <c r="E92" s="83" t="s">
        <v>251</v>
      </c>
      <c r="F92" s="102">
        <v>3519758.5350411106</v>
      </c>
      <c r="G92" s="47"/>
    </row>
    <row r="93" spans="1:8" s="31" customFormat="1" ht="10.95" customHeight="1" x14ac:dyDescent="0.2">
      <c r="A93" s="109"/>
      <c r="B93" s="110"/>
      <c r="C93" s="123"/>
      <c r="D93" s="83" t="s">
        <v>185</v>
      </c>
      <c r="E93" s="83" t="s">
        <v>252</v>
      </c>
      <c r="F93" s="102">
        <v>14215605.567531724</v>
      </c>
      <c r="G93" s="47"/>
    </row>
    <row r="94" spans="1:8" s="31" customFormat="1" ht="10.95" customHeight="1" x14ac:dyDescent="0.2">
      <c r="A94" s="109"/>
      <c r="B94" s="110"/>
      <c r="C94" s="123"/>
      <c r="D94" s="83" t="s">
        <v>185</v>
      </c>
      <c r="E94" s="83" t="s">
        <v>253</v>
      </c>
      <c r="F94" s="102">
        <v>5053867.895120671</v>
      </c>
      <c r="G94" s="47"/>
    </row>
    <row r="95" spans="1:8" s="31" customFormat="1" ht="10.95" customHeight="1" x14ac:dyDescent="0.2">
      <c r="A95" s="109"/>
      <c r="B95" s="110"/>
      <c r="C95" s="123"/>
      <c r="D95" s="83" t="s">
        <v>185</v>
      </c>
      <c r="E95" s="83" t="s">
        <v>254</v>
      </c>
      <c r="F95" s="102">
        <v>40703804.513070129</v>
      </c>
      <c r="G95" s="47"/>
    </row>
    <row r="96" spans="1:8" s="31" customFormat="1" ht="10.95" customHeight="1" x14ac:dyDescent="0.2">
      <c r="A96" s="109"/>
      <c r="B96" s="110"/>
      <c r="C96" s="123"/>
      <c r="D96" s="83" t="s">
        <v>185</v>
      </c>
      <c r="E96" s="83" t="s">
        <v>255</v>
      </c>
      <c r="F96" s="102">
        <v>7615297.110958999</v>
      </c>
      <c r="G96" s="47"/>
    </row>
    <row r="97" spans="1:8" s="31" customFormat="1" ht="10.95" customHeight="1" x14ac:dyDescent="0.2">
      <c r="A97" s="109"/>
      <c r="B97" s="110"/>
      <c r="C97" s="123"/>
      <c r="D97" s="83" t="s">
        <v>185</v>
      </c>
      <c r="E97" s="83" t="s">
        <v>256</v>
      </c>
      <c r="F97" s="102">
        <v>1190599.378277374</v>
      </c>
      <c r="G97" s="95">
        <f>SUM(F82:F97)</f>
        <v>145698517.99999997</v>
      </c>
      <c r="H97" s="96"/>
    </row>
    <row r="98" spans="1:8" s="31" customFormat="1" ht="10.95" customHeight="1" x14ac:dyDescent="0.2">
      <c r="A98" s="109"/>
      <c r="B98" s="110"/>
      <c r="C98" s="86" t="s">
        <v>52</v>
      </c>
      <c r="D98" s="83" t="s">
        <v>186</v>
      </c>
      <c r="E98" s="42" t="s">
        <v>257</v>
      </c>
      <c r="F98" s="102">
        <v>132110883</v>
      </c>
      <c r="G98" s="47"/>
    </row>
    <row r="99" spans="1:8" s="31" customFormat="1" ht="10.95" customHeight="1" x14ac:dyDescent="0.2">
      <c r="A99" s="109"/>
      <c r="B99" s="110"/>
      <c r="C99" s="86" t="s">
        <v>53</v>
      </c>
      <c r="D99" s="83" t="s">
        <v>186</v>
      </c>
      <c r="E99" s="83">
        <v>107</v>
      </c>
      <c r="F99" s="102">
        <v>118610885</v>
      </c>
      <c r="G99" s="95">
        <f>SUM(F98:F99)</f>
        <v>250721768</v>
      </c>
      <c r="H99" s="96"/>
    </row>
    <row r="100" spans="1:8" s="31" customFormat="1" ht="10.95" customHeight="1" x14ac:dyDescent="0.2">
      <c r="A100" s="109" t="s">
        <v>38</v>
      </c>
      <c r="B100" s="110">
        <v>4</v>
      </c>
      <c r="C100" s="111" t="s">
        <v>104</v>
      </c>
      <c r="D100" s="83" t="s">
        <v>187</v>
      </c>
      <c r="E100" s="83">
        <v>134</v>
      </c>
      <c r="F100" s="102">
        <v>4612221</v>
      </c>
      <c r="G100" s="47"/>
    </row>
    <row r="101" spans="1:8" s="31" customFormat="1" ht="10.95" customHeight="1" x14ac:dyDescent="0.2">
      <c r="A101" s="109"/>
      <c r="B101" s="110"/>
      <c r="C101" s="113"/>
      <c r="D101" s="83" t="s">
        <v>187</v>
      </c>
      <c r="E101" s="83">
        <v>136</v>
      </c>
      <c r="F101" s="87">
        <v>3387779</v>
      </c>
      <c r="G101" s="47"/>
    </row>
    <row r="102" spans="1:8" s="31" customFormat="1" ht="10.95" customHeight="1" x14ac:dyDescent="0.2">
      <c r="A102" s="109"/>
      <c r="B102" s="110"/>
      <c r="C102" s="111" t="s">
        <v>105</v>
      </c>
      <c r="D102" s="83" t="s">
        <v>187</v>
      </c>
      <c r="E102" s="83">
        <v>134</v>
      </c>
      <c r="F102" s="87">
        <v>34869217</v>
      </c>
      <c r="G102" s="47"/>
    </row>
    <row r="103" spans="1:8" s="31" customFormat="1" ht="10.95" customHeight="1" x14ac:dyDescent="0.2">
      <c r="A103" s="109"/>
      <c r="B103" s="110"/>
      <c r="C103" s="113"/>
      <c r="D103" s="83" t="s">
        <v>187</v>
      </c>
      <c r="E103" s="83">
        <v>136</v>
      </c>
      <c r="F103" s="87">
        <v>25612221</v>
      </c>
      <c r="G103" s="47"/>
    </row>
    <row r="104" spans="1:8" s="31" customFormat="1" ht="10.95" customHeight="1" x14ac:dyDescent="0.2">
      <c r="A104" s="109"/>
      <c r="B104" s="110"/>
      <c r="C104" s="86" t="s">
        <v>106</v>
      </c>
      <c r="D104" s="83" t="s">
        <v>203</v>
      </c>
      <c r="E104" s="83">
        <v>139</v>
      </c>
      <c r="F104" s="87">
        <v>3027511</v>
      </c>
      <c r="G104" s="47"/>
    </row>
    <row r="105" spans="1:8" s="31" customFormat="1" ht="10.95" customHeight="1" x14ac:dyDescent="0.2">
      <c r="A105" s="109"/>
      <c r="B105" s="110"/>
      <c r="C105" s="86" t="s">
        <v>107</v>
      </c>
      <c r="D105" s="83" t="s">
        <v>204</v>
      </c>
      <c r="E105" s="83">
        <v>142</v>
      </c>
      <c r="F105" s="87">
        <v>11500000</v>
      </c>
      <c r="G105" s="47"/>
    </row>
    <row r="106" spans="1:8" s="31" customFormat="1" ht="10.95" customHeight="1" x14ac:dyDescent="0.2">
      <c r="A106" s="109"/>
      <c r="B106" s="110"/>
      <c r="C106" s="86" t="s">
        <v>108</v>
      </c>
      <c r="D106" s="83" t="s">
        <v>205</v>
      </c>
      <c r="E106" s="83">
        <v>147</v>
      </c>
      <c r="F106" s="87">
        <v>13015738</v>
      </c>
      <c r="G106" s="47"/>
    </row>
    <row r="107" spans="1:8" s="31" customFormat="1" ht="10.95" customHeight="1" x14ac:dyDescent="0.2">
      <c r="A107" s="109"/>
      <c r="B107" s="110"/>
      <c r="C107" s="86" t="s">
        <v>109</v>
      </c>
      <c r="D107" s="83" t="s">
        <v>205</v>
      </c>
      <c r="E107" s="83">
        <v>146</v>
      </c>
      <c r="F107" s="87">
        <v>6649328</v>
      </c>
      <c r="G107" s="47"/>
    </row>
    <row r="108" spans="1:8" s="31" customFormat="1" ht="10.95" customHeight="1" x14ac:dyDescent="0.2">
      <c r="A108" s="109"/>
      <c r="B108" s="110"/>
      <c r="C108" s="86" t="s">
        <v>110</v>
      </c>
      <c r="D108" s="83" t="s">
        <v>193</v>
      </c>
      <c r="E108" s="83">
        <v>148</v>
      </c>
      <c r="F108" s="87">
        <v>43664106</v>
      </c>
      <c r="G108" s="47"/>
    </row>
    <row r="109" spans="1:8" s="31" customFormat="1" ht="10.95" customHeight="1" x14ac:dyDescent="0.2">
      <c r="A109" s="109"/>
      <c r="B109" s="110"/>
      <c r="C109" s="111" t="s">
        <v>111</v>
      </c>
      <c r="D109" s="83" t="s">
        <v>193</v>
      </c>
      <c r="E109" s="92">
        <v>136</v>
      </c>
      <c r="F109" s="87">
        <v>6000000</v>
      </c>
      <c r="G109" s="47"/>
    </row>
    <row r="110" spans="1:8" s="31" customFormat="1" ht="10.95" customHeight="1" x14ac:dyDescent="0.2">
      <c r="A110" s="109"/>
      <c r="B110" s="110"/>
      <c r="C110" s="113"/>
      <c r="D110" s="83" t="s">
        <v>193</v>
      </c>
      <c r="E110" s="92">
        <v>149</v>
      </c>
      <c r="F110" s="87">
        <v>106638641</v>
      </c>
      <c r="G110" s="47"/>
    </row>
    <row r="111" spans="1:8" s="31" customFormat="1" ht="10.95" customHeight="1" x14ac:dyDescent="0.2">
      <c r="A111" s="109"/>
      <c r="B111" s="110"/>
      <c r="C111" s="86" t="s">
        <v>112</v>
      </c>
      <c r="D111" s="83" t="s">
        <v>206</v>
      </c>
      <c r="E111" s="83">
        <v>151</v>
      </c>
      <c r="F111" s="87">
        <v>44757916</v>
      </c>
      <c r="G111" s="47"/>
    </row>
    <row r="112" spans="1:8" s="31" customFormat="1" ht="10.95" customHeight="1" x14ac:dyDescent="0.2">
      <c r="A112" s="109"/>
      <c r="B112" s="110"/>
      <c r="C112" s="86" t="s">
        <v>113</v>
      </c>
      <c r="D112" s="83" t="s">
        <v>206</v>
      </c>
      <c r="E112" s="83">
        <v>151</v>
      </c>
      <c r="F112" s="87">
        <v>12585972</v>
      </c>
      <c r="G112" s="47"/>
    </row>
    <row r="113" spans="1:8" s="31" customFormat="1" ht="10.95" customHeight="1" x14ac:dyDescent="0.2">
      <c r="A113" s="109"/>
      <c r="B113" s="110"/>
      <c r="C113" s="111" t="s">
        <v>114</v>
      </c>
      <c r="D113" s="83" t="s">
        <v>194</v>
      </c>
      <c r="E113" s="92">
        <v>152</v>
      </c>
      <c r="F113" s="87">
        <v>3027512</v>
      </c>
      <c r="G113" s="47"/>
    </row>
    <row r="114" spans="1:8" s="31" customFormat="1" ht="10.95" customHeight="1" x14ac:dyDescent="0.2">
      <c r="A114" s="109"/>
      <c r="B114" s="110"/>
      <c r="C114" s="113"/>
      <c r="D114" s="83" t="s">
        <v>194</v>
      </c>
      <c r="E114" s="92">
        <v>153</v>
      </c>
      <c r="F114" s="87">
        <v>17554061</v>
      </c>
      <c r="G114" s="47"/>
    </row>
    <row r="115" spans="1:8" s="31" customFormat="1" ht="10.95" customHeight="1" x14ac:dyDescent="0.2">
      <c r="A115" s="109"/>
      <c r="B115" s="110"/>
      <c r="C115" s="86" t="s">
        <v>115</v>
      </c>
      <c r="D115" s="83" t="s">
        <v>194</v>
      </c>
      <c r="E115" s="92">
        <v>153</v>
      </c>
      <c r="F115" s="87">
        <v>3000000</v>
      </c>
      <c r="G115" s="47"/>
    </row>
    <row r="116" spans="1:8" s="31" customFormat="1" ht="10.95" customHeight="1" x14ac:dyDescent="0.2">
      <c r="A116" s="109"/>
      <c r="B116" s="110"/>
      <c r="C116" s="86" t="s">
        <v>116</v>
      </c>
      <c r="D116" s="83" t="s">
        <v>194</v>
      </c>
      <c r="E116" s="83">
        <v>138</v>
      </c>
      <c r="F116" s="87">
        <v>11666027</v>
      </c>
      <c r="G116" s="47"/>
    </row>
    <row r="117" spans="1:8" s="31" customFormat="1" ht="10.95" customHeight="1" x14ac:dyDescent="0.2">
      <c r="A117" s="109"/>
      <c r="B117" s="110"/>
      <c r="C117" s="86" t="s">
        <v>117</v>
      </c>
      <c r="D117" s="83" t="s">
        <v>207</v>
      </c>
      <c r="E117" s="83">
        <v>157</v>
      </c>
      <c r="F117" s="87">
        <v>6994114</v>
      </c>
      <c r="G117" s="47"/>
    </row>
    <row r="118" spans="1:8" s="31" customFormat="1" ht="10.95" customHeight="1" x14ac:dyDescent="0.2">
      <c r="A118" s="109"/>
      <c r="B118" s="110"/>
      <c r="C118" s="86" t="s">
        <v>118</v>
      </c>
      <c r="D118" s="83" t="s">
        <v>207</v>
      </c>
      <c r="E118" s="83">
        <v>157</v>
      </c>
      <c r="F118" s="87">
        <v>5006056</v>
      </c>
      <c r="G118" s="47"/>
    </row>
    <row r="119" spans="1:8" s="31" customFormat="1" ht="10.95" customHeight="1" x14ac:dyDescent="0.2">
      <c r="A119" s="109"/>
      <c r="B119" s="110"/>
      <c r="C119" s="86" t="s">
        <v>119</v>
      </c>
      <c r="D119" s="83" t="s">
        <v>207</v>
      </c>
      <c r="E119" s="83">
        <v>157</v>
      </c>
      <c r="F119" s="87">
        <v>6118512</v>
      </c>
      <c r="G119" s="47"/>
    </row>
    <row r="120" spans="1:8" s="31" customFormat="1" ht="10.95" customHeight="1" x14ac:dyDescent="0.2">
      <c r="A120" s="109"/>
      <c r="B120" s="110"/>
      <c r="C120" s="86" t="s">
        <v>120</v>
      </c>
      <c r="D120" s="83" t="s">
        <v>208</v>
      </c>
      <c r="E120" s="83">
        <v>158</v>
      </c>
      <c r="F120" s="87">
        <v>62050221</v>
      </c>
      <c r="G120" s="47"/>
    </row>
    <row r="121" spans="1:8" s="31" customFormat="1" ht="10.95" customHeight="1" x14ac:dyDescent="0.2">
      <c r="A121" s="109"/>
      <c r="B121" s="110"/>
      <c r="C121" s="86" t="s">
        <v>121</v>
      </c>
      <c r="D121" s="83" t="s">
        <v>208</v>
      </c>
      <c r="E121" s="83">
        <v>158</v>
      </c>
      <c r="F121" s="87">
        <v>12000000</v>
      </c>
      <c r="G121" s="47"/>
    </row>
    <row r="122" spans="1:8" s="31" customFormat="1" ht="10.95" customHeight="1" x14ac:dyDescent="0.2">
      <c r="A122" s="109"/>
      <c r="B122" s="110"/>
      <c r="C122" s="86" t="s">
        <v>122</v>
      </c>
      <c r="D122" s="83" t="s">
        <v>208</v>
      </c>
      <c r="E122" s="83">
        <v>158</v>
      </c>
      <c r="F122" s="87">
        <v>15000000</v>
      </c>
      <c r="G122" s="47"/>
    </row>
    <row r="123" spans="1:8" s="31" customFormat="1" ht="10.95" customHeight="1" x14ac:dyDescent="0.2">
      <c r="A123" s="109"/>
      <c r="B123" s="110"/>
      <c r="C123" s="111" t="s">
        <v>123</v>
      </c>
      <c r="D123" s="83" t="s">
        <v>208</v>
      </c>
      <c r="E123" s="83">
        <v>158</v>
      </c>
      <c r="F123" s="87">
        <v>3200000</v>
      </c>
      <c r="G123" s="47"/>
    </row>
    <row r="124" spans="1:8" s="31" customFormat="1" ht="10.95" customHeight="1" x14ac:dyDescent="0.2">
      <c r="A124" s="109"/>
      <c r="B124" s="110"/>
      <c r="C124" s="113"/>
      <c r="D124" s="83" t="s">
        <v>208</v>
      </c>
      <c r="E124" s="83">
        <v>161</v>
      </c>
      <c r="F124" s="87">
        <v>6800000</v>
      </c>
      <c r="G124" s="47"/>
    </row>
    <row r="125" spans="1:8" s="31" customFormat="1" ht="10.95" customHeight="1" x14ac:dyDescent="0.2">
      <c r="A125" s="109"/>
      <c r="B125" s="110"/>
      <c r="C125" s="86" t="s">
        <v>124</v>
      </c>
      <c r="D125" s="83" t="s">
        <v>209</v>
      </c>
      <c r="E125" s="83">
        <v>163</v>
      </c>
      <c r="F125" s="87">
        <v>8500000</v>
      </c>
      <c r="G125" s="95">
        <f>SUM(F100:F125)</f>
        <v>477237153</v>
      </c>
      <c r="H125" s="96"/>
    </row>
    <row r="126" spans="1:8" s="31" customFormat="1" ht="10.95" customHeight="1" x14ac:dyDescent="0.2">
      <c r="A126" s="109" t="s">
        <v>39</v>
      </c>
      <c r="B126" s="126">
        <v>4</v>
      </c>
      <c r="C126" s="86" t="s">
        <v>160</v>
      </c>
      <c r="D126" s="83" t="s">
        <v>195</v>
      </c>
      <c r="E126" s="83">
        <v>121</v>
      </c>
      <c r="F126" s="87">
        <f>10114028-500000</f>
        <v>9614028</v>
      </c>
      <c r="G126" s="47"/>
    </row>
    <row r="127" spans="1:8" s="31" customFormat="1" ht="10.95" customHeight="1" x14ac:dyDescent="0.2">
      <c r="A127" s="109"/>
      <c r="B127" s="126"/>
      <c r="C127" s="111" t="s">
        <v>161</v>
      </c>
      <c r="D127" s="83" t="s">
        <v>195</v>
      </c>
      <c r="E127" s="83">
        <v>122</v>
      </c>
      <c r="F127" s="87">
        <v>9632407</v>
      </c>
      <c r="G127" s="47"/>
    </row>
    <row r="128" spans="1:8" s="31" customFormat="1" ht="10.95" customHeight="1" x14ac:dyDescent="0.2">
      <c r="A128" s="109"/>
      <c r="B128" s="126"/>
      <c r="C128" s="113"/>
      <c r="D128" s="83" t="s">
        <v>195</v>
      </c>
      <c r="E128" s="83">
        <v>124</v>
      </c>
      <c r="F128" s="87">
        <v>20000000</v>
      </c>
      <c r="G128" s="47"/>
    </row>
    <row r="129" spans="1:8" s="31" customFormat="1" ht="10.95" customHeight="1" x14ac:dyDescent="0.2">
      <c r="A129" s="109"/>
      <c r="B129" s="126"/>
      <c r="C129" s="86" t="s">
        <v>162</v>
      </c>
      <c r="D129" s="83" t="s">
        <v>210</v>
      </c>
      <c r="E129" s="83">
        <v>127</v>
      </c>
      <c r="F129" s="87">
        <v>16000000</v>
      </c>
      <c r="G129" s="47"/>
    </row>
    <row r="130" spans="1:8" s="31" customFormat="1" ht="10.95" customHeight="1" x14ac:dyDescent="0.2">
      <c r="A130" s="109"/>
      <c r="B130" s="126"/>
      <c r="C130" s="86" t="s">
        <v>163</v>
      </c>
      <c r="D130" s="83" t="s">
        <v>210</v>
      </c>
      <c r="E130" s="83">
        <v>127</v>
      </c>
      <c r="F130" s="87">
        <v>24000000</v>
      </c>
      <c r="G130" s="47"/>
    </row>
    <row r="131" spans="1:8" s="31" customFormat="1" ht="10.95" customHeight="1" x14ac:dyDescent="0.2">
      <c r="A131" s="109"/>
      <c r="B131" s="126"/>
      <c r="C131" s="86" t="s">
        <v>164</v>
      </c>
      <c r="D131" s="83" t="s">
        <v>210</v>
      </c>
      <c r="E131" s="83">
        <v>127</v>
      </c>
      <c r="F131" s="87">
        <v>10000000</v>
      </c>
      <c r="G131" s="47"/>
    </row>
    <row r="132" spans="1:8" s="31" customFormat="1" ht="10.95" customHeight="1" x14ac:dyDescent="0.2">
      <c r="A132" s="109"/>
      <c r="B132" s="126"/>
      <c r="C132" s="86" t="s">
        <v>165</v>
      </c>
      <c r="D132" s="83" t="s">
        <v>210</v>
      </c>
      <c r="E132" s="83">
        <v>127</v>
      </c>
      <c r="F132" s="87">
        <v>5000000</v>
      </c>
      <c r="G132" s="47"/>
    </row>
    <row r="133" spans="1:8" s="31" customFormat="1" ht="10.95" customHeight="1" x14ac:dyDescent="0.2">
      <c r="A133" s="109"/>
      <c r="B133" s="126"/>
      <c r="C133" s="111" t="s">
        <v>166</v>
      </c>
      <c r="D133" s="83" t="s">
        <v>196</v>
      </c>
      <c r="E133" s="83">
        <v>128</v>
      </c>
      <c r="F133" s="87">
        <v>18893214.679219842</v>
      </c>
      <c r="G133" s="47"/>
    </row>
    <row r="134" spans="1:8" s="31" customFormat="1" ht="10.95" customHeight="1" x14ac:dyDescent="0.2">
      <c r="A134" s="109"/>
      <c r="B134" s="126"/>
      <c r="C134" s="112"/>
      <c r="D134" s="83" t="s">
        <v>196</v>
      </c>
      <c r="E134" s="83">
        <v>129</v>
      </c>
      <c r="F134" s="87">
        <v>10610433</v>
      </c>
      <c r="G134" s="47"/>
    </row>
    <row r="135" spans="1:8" s="31" customFormat="1" ht="10.95" customHeight="1" x14ac:dyDescent="0.2">
      <c r="A135" s="109"/>
      <c r="B135" s="126"/>
      <c r="C135" s="113"/>
      <c r="D135" s="83" t="s">
        <v>196</v>
      </c>
      <c r="E135" s="83">
        <v>172</v>
      </c>
      <c r="F135" s="87">
        <v>157296</v>
      </c>
      <c r="G135" s="47"/>
    </row>
    <row r="136" spans="1:8" s="31" customFormat="1" ht="10.95" customHeight="1" x14ac:dyDescent="0.2">
      <c r="A136" s="109"/>
      <c r="B136" s="126"/>
      <c r="C136" s="111" t="s">
        <v>167</v>
      </c>
      <c r="D136" s="83" t="s">
        <v>196</v>
      </c>
      <c r="E136" s="83">
        <v>128</v>
      </c>
      <c r="F136" s="87">
        <v>6527114.3207801562</v>
      </c>
      <c r="G136" s="47"/>
    </row>
    <row r="137" spans="1:8" s="31" customFormat="1" ht="10.95" customHeight="1" x14ac:dyDescent="0.2">
      <c r="A137" s="109"/>
      <c r="B137" s="126"/>
      <c r="C137" s="113"/>
      <c r="D137" s="83" t="s">
        <v>196</v>
      </c>
      <c r="E137" s="83">
        <v>129</v>
      </c>
      <c r="F137" s="87">
        <f>3689100+30741</f>
        <v>3719841</v>
      </c>
      <c r="G137" s="47"/>
    </row>
    <row r="138" spans="1:8" s="31" customFormat="1" ht="10.95" customHeight="1" x14ac:dyDescent="0.2">
      <c r="A138" s="109"/>
      <c r="B138" s="126"/>
      <c r="C138" s="112" t="s">
        <v>168</v>
      </c>
      <c r="D138" s="83" t="s">
        <v>196</v>
      </c>
      <c r="E138" s="83">
        <v>128</v>
      </c>
      <c r="F138" s="87">
        <v>7977824</v>
      </c>
      <c r="G138" s="47"/>
    </row>
    <row r="139" spans="1:8" s="31" customFormat="1" ht="10.95" customHeight="1" x14ac:dyDescent="0.2">
      <c r="A139" s="109"/>
      <c r="B139" s="126"/>
      <c r="C139" s="113"/>
      <c r="D139" s="83" t="s">
        <v>196</v>
      </c>
      <c r="E139" s="83">
        <v>129</v>
      </c>
      <c r="F139" s="87">
        <v>4546233</v>
      </c>
      <c r="G139" s="47"/>
    </row>
    <row r="140" spans="1:8" s="31" customFormat="1" ht="10.95" customHeight="1" x14ac:dyDescent="0.2">
      <c r="A140" s="109"/>
      <c r="B140" s="126"/>
      <c r="C140" s="123" t="s">
        <v>169</v>
      </c>
      <c r="D140" s="83" t="s">
        <v>188</v>
      </c>
      <c r="E140" s="83">
        <v>166</v>
      </c>
      <c r="F140" s="87">
        <v>27459409</v>
      </c>
      <c r="G140" s="47"/>
    </row>
    <row r="141" spans="1:8" s="31" customFormat="1" ht="10.95" customHeight="1" x14ac:dyDescent="0.2">
      <c r="A141" s="109"/>
      <c r="B141" s="126"/>
      <c r="C141" s="123"/>
      <c r="D141" s="83" t="s">
        <v>188</v>
      </c>
      <c r="E141" s="83">
        <v>172</v>
      </c>
      <c r="F141" s="87">
        <v>1261022</v>
      </c>
      <c r="G141" s="47"/>
    </row>
    <row r="142" spans="1:8" s="31" customFormat="1" ht="10.95" customHeight="1" x14ac:dyDescent="0.2">
      <c r="A142" s="109"/>
      <c r="B142" s="126"/>
      <c r="C142" s="86" t="s">
        <v>170</v>
      </c>
      <c r="D142" s="83" t="s">
        <v>188</v>
      </c>
      <c r="E142" s="83">
        <v>165</v>
      </c>
      <c r="F142" s="87">
        <f>51135797-3000000</f>
        <v>48135797</v>
      </c>
      <c r="G142" s="47"/>
    </row>
    <row r="143" spans="1:8" s="31" customFormat="1" ht="10.95" customHeight="1" x14ac:dyDescent="0.2">
      <c r="A143" s="109"/>
      <c r="B143" s="126"/>
      <c r="C143" s="86" t="s">
        <v>171</v>
      </c>
      <c r="D143" s="83" t="s">
        <v>188</v>
      </c>
      <c r="E143" s="83">
        <v>165</v>
      </c>
      <c r="F143" s="87">
        <v>10000000</v>
      </c>
      <c r="G143" s="95">
        <f>SUM(F126:F143)</f>
        <v>233534619</v>
      </c>
      <c r="H143" s="96"/>
    </row>
    <row r="144" spans="1:8" s="31" customFormat="1" ht="10.95" customHeight="1" x14ac:dyDescent="0.2">
      <c r="A144" s="109" t="s">
        <v>40</v>
      </c>
      <c r="B144" s="110">
        <v>5</v>
      </c>
      <c r="C144" s="123" t="s">
        <v>175</v>
      </c>
      <c r="D144" s="83" t="s">
        <v>189</v>
      </c>
      <c r="E144" s="83">
        <v>168</v>
      </c>
      <c r="F144" s="87">
        <v>43000000</v>
      </c>
      <c r="G144" s="47"/>
    </row>
    <row r="145" spans="1:8" s="31" customFormat="1" ht="10.95" customHeight="1" x14ac:dyDescent="0.2">
      <c r="A145" s="109"/>
      <c r="B145" s="110"/>
      <c r="C145" s="123"/>
      <c r="D145" s="83" t="s">
        <v>189</v>
      </c>
      <c r="E145" s="83">
        <v>169</v>
      </c>
      <c r="F145" s="87">
        <v>2000000</v>
      </c>
      <c r="G145" s="95">
        <f>SUM(F144:F145)</f>
        <v>45000000</v>
      </c>
      <c r="H145" s="96"/>
    </row>
    <row r="146" spans="1:8" s="31" customFormat="1" ht="10.95" customHeight="1" x14ac:dyDescent="0.2">
      <c r="A146" s="109" t="s">
        <v>41</v>
      </c>
      <c r="B146" s="110" t="s">
        <v>258</v>
      </c>
      <c r="C146" s="123" t="s">
        <v>174</v>
      </c>
      <c r="D146" s="83" t="s">
        <v>190</v>
      </c>
      <c r="E146" s="83">
        <v>179</v>
      </c>
      <c r="F146" s="87">
        <v>1257500</v>
      </c>
      <c r="G146" s="47"/>
    </row>
    <row r="147" spans="1:8" s="31" customFormat="1" ht="10.95" customHeight="1" x14ac:dyDescent="0.2">
      <c r="A147" s="109"/>
      <c r="B147" s="110"/>
      <c r="C147" s="123"/>
      <c r="D147" s="83" t="s">
        <v>190</v>
      </c>
      <c r="E147" s="83">
        <v>180</v>
      </c>
      <c r="F147" s="87">
        <v>16889508</v>
      </c>
      <c r="G147" s="47"/>
    </row>
    <row r="148" spans="1:8" s="31" customFormat="1" ht="10.95" customHeight="1" x14ac:dyDescent="0.2">
      <c r="A148" s="109"/>
      <c r="B148" s="110"/>
      <c r="C148" s="123"/>
      <c r="D148" s="83" t="s">
        <v>190</v>
      </c>
      <c r="E148" s="83">
        <v>181</v>
      </c>
      <c r="F148" s="87">
        <v>1435503</v>
      </c>
      <c r="G148" s="47"/>
    </row>
    <row r="149" spans="1:8" s="31" customFormat="1" ht="10.95" customHeight="1" x14ac:dyDescent="0.2">
      <c r="A149" s="109"/>
      <c r="B149" s="110"/>
      <c r="C149" s="123"/>
      <c r="D149" s="83" t="s">
        <v>190</v>
      </c>
      <c r="E149" s="83">
        <v>182</v>
      </c>
      <c r="F149" s="87">
        <v>574201</v>
      </c>
      <c r="G149" s="95">
        <f>SUM(F146:F149)</f>
        <v>20156712</v>
      </c>
      <c r="H149" s="96"/>
    </row>
    <row r="150" spans="1:8" s="31" customFormat="1" ht="10.95" customHeight="1" x14ac:dyDescent="0.2">
      <c r="A150" s="109" t="s">
        <v>42</v>
      </c>
      <c r="B150" s="110" t="s">
        <v>258</v>
      </c>
      <c r="C150" s="123" t="s">
        <v>173</v>
      </c>
      <c r="D150" s="83" t="s">
        <v>190</v>
      </c>
      <c r="E150" s="83">
        <v>179</v>
      </c>
      <c r="F150" s="87">
        <v>3122500</v>
      </c>
      <c r="G150" s="47"/>
    </row>
    <row r="151" spans="1:8" s="31" customFormat="1" ht="10.95" customHeight="1" x14ac:dyDescent="0.2">
      <c r="A151" s="109"/>
      <c r="B151" s="110"/>
      <c r="C151" s="123"/>
      <c r="D151" s="83" t="s">
        <v>190</v>
      </c>
      <c r="E151" s="83">
        <v>180</v>
      </c>
      <c r="F151" s="87">
        <v>41938341</v>
      </c>
      <c r="G151" s="47"/>
    </row>
    <row r="152" spans="1:8" s="31" customFormat="1" ht="10.95" customHeight="1" x14ac:dyDescent="0.2">
      <c r="A152" s="109"/>
      <c r="B152" s="110"/>
      <c r="C152" s="123"/>
      <c r="D152" s="83" t="s">
        <v>190</v>
      </c>
      <c r="E152" s="83">
        <v>181</v>
      </c>
      <c r="F152" s="87">
        <v>3564497</v>
      </c>
      <c r="G152" s="47"/>
    </row>
    <row r="153" spans="1:8" s="31" customFormat="1" ht="10.95" customHeight="1" x14ac:dyDescent="0.2">
      <c r="A153" s="109"/>
      <c r="B153" s="110"/>
      <c r="C153" s="123"/>
      <c r="D153" s="83" t="s">
        <v>190</v>
      </c>
      <c r="E153" s="83">
        <v>182</v>
      </c>
      <c r="F153" s="93">
        <v>1425799</v>
      </c>
      <c r="G153" s="95">
        <f>SUM(F150:F153)</f>
        <v>50051137</v>
      </c>
      <c r="H153" s="96"/>
    </row>
    <row r="154" spans="1:8" s="31" customFormat="1" x14ac:dyDescent="0.2">
      <c r="A154" s="30"/>
      <c r="B154" s="30"/>
      <c r="C154" s="89"/>
      <c r="D154" s="89"/>
      <c r="E154" s="89"/>
      <c r="F154" s="41"/>
      <c r="G154" s="48">
        <f>SUM(G153,G149,G145,G143,G125,G99,G97,G81,G32)</f>
        <v>1751808323</v>
      </c>
    </row>
    <row r="155" spans="1:8" s="31" customFormat="1" x14ac:dyDescent="0.2">
      <c r="A155" s="30"/>
      <c r="B155" s="30"/>
      <c r="C155" s="89"/>
      <c r="D155" s="89"/>
      <c r="E155" s="89"/>
      <c r="F155" s="41"/>
      <c r="G155" s="47"/>
    </row>
  </sheetData>
  <mergeCells count="56">
    <mergeCell ref="D1:F1"/>
    <mergeCell ref="A150:A153"/>
    <mergeCell ref="B150:B153"/>
    <mergeCell ref="C150:C153"/>
    <mergeCell ref="C25:C27"/>
    <mergeCell ref="C23:C24"/>
    <mergeCell ref="C48:C53"/>
    <mergeCell ref="A144:A145"/>
    <mergeCell ref="B144:B145"/>
    <mergeCell ref="C144:C145"/>
    <mergeCell ref="A146:A149"/>
    <mergeCell ref="B146:B149"/>
    <mergeCell ref="C146:C149"/>
    <mergeCell ref="A126:A143"/>
    <mergeCell ref="B126:B143"/>
    <mergeCell ref="C127:C128"/>
    <mergeCell ref="C133:C135"/>
    <mergeCell ref="C136:C137"/>
    <mergeCell ref="C138:C139"/>
    <mergeCell ref="C140:C141"/>
    <mergeCell ref="A98:A99"/>
    <mergeCell ref="B98:B99"/>
    <mergeCell ref="A100:A125"/>
    <mergeCell ref="B100:B125"/>
    <mergeCell ref="C100:C101"/>
    <mergeCell ref="C102:C103"/>
    <mergeCell ref="C109:C110"/>
    <mergeCell ref="C113:C114"/>
    <mergeCell ref="C123:C124"/>
    <mergeCell ref="A82:A97"/>
    <mergeCell ref="B82:B97"/>
    <mergeCell ref="C82:C85"/>
    <mergeCell ref="C86:C91"/>
    <mergeCell ref="C92:C97"/>
    <mergeCell ref="C76:C78"/>
    <mergeCell ref="A33:A81"/>
    <mergeCell ref="B33:B81"/>
    <mergeCell ref="C33:C37"/>
    <mergeCell ref="C38:C40"/>
    <mergeCell ref="C41:C43"/>
    <mergeCell ref="C44:C46"/>
    <mergeCell ref="C54:C57"/>
    <mergeCell ref="C58:C61"/>
    <mergeCell ref="C62:C63"/>
    <mergeCell ref="C64:C65"/>
    <mergeCell ref="C66:C67"/>
    <mergeCell ref="C68:C69"/>
    <mergeCell ref="C73:C75"/>
    <mergeCell ref="C79:C81"/>
    <mergeCell ref="C71:C72"/>
    <mergeCell ref="A5:A32"/>
    <mergeCell ref="B5:B32"/>
    <mergeCell ref="C5:C13"/>
    <mergeCell ref="C14:C22"/>
    <mergeCell ref="C28:C30"/>
    <mergeCell ref="C31:C32"/>
  </mergeCells>
  <pageMargins left="0.25" right="0.25" top="0.75" bottom="0.75" header="0.3" footer="0.3"/>
  <pageSetup paperSize="9" scale="80" orientation="portrait" r:id="rId1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indykatywna</vt:lpstr>
      <vt:lpstr>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2026-03-26T11:58:20Z</dcterms:modified>
</cp:coreProperties>
</file>